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450" windowWidth="7500" windowHeight="5010" activeTab="0"/>
  </bookViews>
  <sheets>
    <sheet name="TBL_91" sheetId="1" r:id="rId1"/>
  </sheets>
  <definedNames>
    <definedName name="\a">'TBL_91'!$IV$8192</definedName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<sst xmlns="http://schemas.openxmlformats.org/spreadsheetml/2006/main" count="51" uniqueCount="46">
  <si>
    <t>Table 91--Peanut area, by region and province, China, 1979-90</t>
  </si>
  <si>
    <t>Region/province</t>
  </si>
  <si>
    <t xml:space="preserve">      1,000 hectares 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</si>
  <si>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</si>
  <si>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</si>
  <si>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</si>
  <si>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</si>
  <si>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</si>
  <si>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</si>
  <si>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</si>
  <si>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</si>
  <si>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</si>
  <si>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</si>
  <si>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</si>
  <si>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</si>
  <si>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</si>
  <si>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</si>
  <si>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</si>
  <si>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</si>
  <si>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</si>
  <si>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</si>
  <si>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</si>
  <si>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</si>
  <si>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</si>
  <si>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</si>
  <si>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</si>
  <si>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</si>
  <si>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</si>
  <si>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</si>
  <si>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</si>
  <si>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</si>
  <si>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</si>
  <si>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</si>
  <si>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</si>
  <si>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Hainan—u1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</si>
  <si>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</si>
  <si>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</si>
  <si>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</si>
  <si>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</si>
  <si>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</si>
  <si>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</si>
  <si>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</si>
  <si>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</si>
  <si>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Hainan data available beginning in 1985 -- prior years included in Guangdong.</t>
  </si>
  <si>
    <t xml:space="preserve">    Sources:  (3, p. 33), (4, p. 40), (5, p. 43), (6, p. 91), (7, p. 151), (8, p. 185), (53, p. 158), (33, p. 265), (9, p. 219), (10, p. 236),</t>
  </si>
  <si>
    <t>(34, p. 360) and (35, p. 343).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</si>
</sst>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68"/>
  <sheetViews>
    <sheetView showGridLines="0" tabSelected="1" workbookViewId="0" topLeftCell="A1">
      <selection activeCell="A1" sqref="A1"/>
    </sheetView>
  </sheetViews>
  <sheetFormatPr defaultColWidth="11.625" defaultRowHeight="12.75"/>
  <cols>
    <col min="1" max="1" width="2.625" style="0" customWidth="1"/>
    <col min="2" max="2" width="13.625" style="0" customWidth="1"/>
    <col min="3" max="14" width="7.625" style="0" customWidth="1"/>
  </cols>
  <sheetData>
    <row r="1" ht="12">
      <c r="A1" s="1" t="s">
        <v>0</v>
      </c>
    </row>
    <row r="4" spans="1:14" ht="12">
      <c r="A4" s="1" t="s">
        <v>1</v>
      </c>
      <c r="C4" s="2">
        <v>1979</v>
      </c>
      <c r="D4" s="2">
        <v>1980</v>
      </c>
      <c r="E4" s="2">
        <v>1981</v>
      </c>
      <c r="F4" s="2">
        <v>1982</v>
      </c>
      <c r="G4" s="2">
        <v>1983</v>
      </c>
      <c r="H4" s="2">
        <v>1984</v>
      </c>
      <c r="I4" s="2">
        <v>1985</v>
      </c>
      <c r="J4" s="2">
        <v>1986</v>
      </c>
      <c r="K4" s="2">
        <v>1987</v>
      </c>
      <c r="L4" s="2">
        <v>1988</v>
      </c>
      <c r="M4" s="2">
        <v>1989</v>
      </c>
      <c r="N4" s="2">
        <v>1990</v>
      </c>
    </row>
    <row r="7" ht="12">
      <c r="H7" s="1" t="s">
        <v>2</v>
      </c>
    </row>
    <row r="9" spans="1:19" ht="12">
      <c r="A9" s="1" t="s">
        <v>3</v>
      </c>
      <c r="C9" s="3">
        <f aca="true" t="shared" si="0" ref="C9:N9">SUM(C10:C12)</f>
        <v>87.53333333333335</v>
      </c>
      <c r="D9" s="3">
        <f t="shared" si="0"/>
        <v>108.33333333333334</v>
      </c>
      <c r="E9" s="3">
        <f t="shared" si="0"/>
        <v>122.33333333333334</v>
      </c>
      <c r="F9" s="3">
        <f t="shared" si="0"/>
        <v>132.46007840474087</v>
      </c>
      <c r="G9" s="3">
        <f t="shared" si="0"/>
        <v>116</v>
      </c>
      <c r="H9" s="3">
        <f t="shared" si="0"/>
        <v>152</v>
      </c>
      <c r="I9" s="3">
        <f t="shared" si="0"/>
        <v>266</v>
      </c>
      <c r="J9" s="3">
        <f t="shared" si="0"/>
        <v>170</v>
      </c>
      <c r="K9" s="3">
        <f t="shared" si="0"/>
        <v>91.6</v>
      </c>
      <c r="L9" s="3">
        <f t="shared" si="0"/>
        <v>87.8</v>
      </c>
      <c r="M9" s="3">
        <f t="shared" si="0"/>
        <v>89</v>
      </c>
      <c r="N9" s="3">
        <f t="shared" si="0"/>
        <v>84.2</v>
      </c>
      <c r="O9" s="3"/>
      <c r="P9" s="3"/>
      <c r="Q9" s="3"/>
      <c r="R9" s="3"/>
      <c r="S9" s="3"/>
    </row>
    <row r="10" spans="2:19" ht="12">
      <c r="B10" s="1" t="s">
        <v>4</v>
      </c>
      <c r="C10" s="3">
        <f>2.6/1.5</f>
        <v>1.7333333333333334</v>
      </c>
      <c r="D10" s="3">
        <f>4/1.5</f>
        <v>2.6666666666666665</v>
      </c>
      <c r="E10" s="3">
        <f>8.7/1.5</f>
        <v>5.8</v>
      </c>
      <c r="F10" s="3">
        <f>8.4*1000/127/15</f>
        <v>4.409448818897638</v>
      </c>
      <c r="G10" s="3">
        <v>3</v>
      </c>
      <c r="H10" s="3">
        <v>1</v>
      </c>
      <c r="I10" s="3">
        <v>1</v>
      </c>
      <c r="J10" s="3">
        <v>1</v>
      </c>
      <c r="K10" s="3">
        <v>0.7</v>
      </c>
      <c r="L10" s="3">
        <f>6/15</f>
        <v>0.4</v>
      </c>
      <c r="M10" s="3">
        <v>0.5333333333333333</v>
      </c>
      <c r="N10" s="3">
        <v>0.4666666666666666</v>
      </c>
      <c r="O10" s="3"/>
      <c r="P10" s="3"/>
      <c r="Q10" s="3"/>
      <c r="R10" s="3"/>
      <c r="S10" s="3"/>
    </row>
    <row r="11" spans="2:19" ht="12">
      <c r="B11" s="1" t="s">
        <v>5</v>
      </c>
      <c r="C11" s="3">
        <f>124.7/1.5</f>
        <v>83.13333333333334</v>
      </c>
      <c r="D11" s="3">
        <f>146.3/1.5</f>
        <v>97.53333333333335</v>
      </c>
      <c r="E11" s="3">
        <f>159.9/1.5</f>
        <v>106.60000000000001</v>
      </c>
      <c r="F11" s="3">
        <f>349.1*1000/191/15</f>
        <v>121.84991273996509</v>
      </c>
      <c r="G11" s="3">
        <v>106</v>
      </c>
      <c r="H11" s="3">
        <v>144</v>
      </c>
      <c r="I11" s="3">
        <v>252</v>
      </c>
      <c r="J11" s="3">
        <v>162</v>
      </c>
      <c r="K11" s="3">
        <v>86.6</v>
      </c>
      <c r="L11" s="3">
        <f>1257/15</f>
        <v>83.8</v>
      </c>
      <c r="M11" s="3">
        <v>83.2</v>
      </c>
      <c r="N11" s="3">
        <v>78</v>
      </c>
      <c r="O11" s="3"/>
      <c r="P11" s="3"/>
      <c r="Q11" s="3"/>
      <c r="R11" s="3"/>
      <c r="S11" s="3"/>
    </row>
    <row r="12" spans="2:19" ht="12">
      <c r="B12" s="1" t="s">
        <v>6</v>
      </c>
      <c r="C12" s="3">
        <f>4/1.5</f>
        <v>2.6666666666666665</v>
      </c>
      <c r="D12" s="3">
        <f>12.2/1.5</f>
        <v>8.133333333333333</v>
      </c>
      <c r="E12" s="3">
        <f>14.9/1.5</f>
        <v>9.933333333333334</v>
      </c>
      <c r="F12" s="3">
        <f>17.3*1000/186/15</f>
        <v>6.200716845878136</v>
      </c>
      <c r="G12" s="3">
        <v>7</v>
      </c>
      <c r="H12" s="3">
        <v>7</v>
      </c>
      <c r="I12" s="3">
        <v>13</v>
      </c>
      <c r="J12" s="3">
        <v>7</v>
      </c>
      <c r="K12" s="3">
        <v>4.3</v>
      </c>
      <c r="L12" s="3">
        <f>54/15</f>
        <v>3.6</v>
      </c>
      <c r="M12" s="3">
        <v>5.2666666666666675</v>
      </c>
      <c r="N12" s="3">
        <v>5.733333333333333</v>
      </c>
      <c r="O12" s="3"/>
      <c r="P12" s="3"/>
      <c r="Q12" s="3"/>
      <c r="R12" s="3"/>
      <c r="S12" s="3"/>
    </row>
    <row r="13" spans="3:19" ht="12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>
      <c r="A14" s="1" t="s">
        <v>7</v>
      </c>
      <c r="C14" s="3">
        <f aca="true" t="shared" si="1" ref="C14:N14">SUM(C15:C20)</f>
        <v>930.9999999999999</v>
      </c>
      <c r="D14" s="3">
        <f t="shared" si="1"/>
        <v>1099</v>
      </c>
      <c r="E14" s="3">
        <f t="shared" si="1"/>
        <v>1159.6666666666667</v>
      </c>
      <c r="F14" s="3">
        <f t="shared" si="1"/>
        <v>1067.5495054559744</v>
      </c>
      <c r="G14" s="3">
        <f t="shared" si="1"/>
        <v>1015</v>
      </c>
      <c r="H14" s="3">
        <f t="shared" si="1"/>
        <v>1094</v>
      </c>
      <c r="I14" s="3">
        <f t="shared" si="1"/>
        <v>1661</v>
      </c>
      <c r="J14" s="3">
        <f t="shared" si="1"/>
        <v>1621</v>
      </c>
      <c r="K14" s="3">
        <f t="shared" si="1"/>
        <v>1529.9</v>
      </c>
      <c r="L14" s="3">
        <f t="shared" si="1"/>
        <v>1525.9333333333334</v>
      </c>
      <c r="M14" s="3">
        <f t="shared" si="1"/>
        <v>1515.8</v>
      </c>
      <c r="N14" s="3">
        <f t="shared" si="1"/>
        <v>1494.4000000000003</v>
      </c>
      <c r="O14" s="3"/>
      <c r="P14" s="3"/>
      <c r="Q14" s="3"/>
      <c r="R14" s="3"/>
      <c r="S14" s="3"/>
    </row>
    <row r="15" spans="2:19" ht="12">
      <c r="B15" s="1" t="s">
        <v>8</v>
      </c>
      <c r="C15" s="3">
        <f>843.6/1.5</f>
        <v>562.4</v>
      </c>
      <c r="D15" s="3">
        <f>936/1.5</f>
        <v>624</v>
      </c>
      <c r="E15" s="3">
        <f>1003.3/1.5</f>
        <v>668.8666666666667</v>
      </c>
      <c r="F15" s="3">
        <f>2800*1000/299/15</f>
        <v>624.3032329988852</v>
      </c>
      <c r="G15" s="3">
        <v>598</v>
      </c>
      <c r="H15" s="3">
        <v>632</v>
      </c>
      <c r="I15" s="3">
        <v>919</v>
      </c>
      <c r="J15" s="3">
        <v>850</v>
      </c>
      <c r="K15" s="3">
        <v>765.7</v>
      </c>
      <c r="L15" s="3">
        <f>11153/15</f>
        <v>743.5333333333333</v>
      </c>
      <c r="M15" s="3">
        <v>731.6</v>
      </c>
      <c r="N15" s="3">
        <v>711.5333333333334</v>
      </c>
      <c r="O15" s="3"/>
      <c r="P15" s="3"/>
      <c r="Q15" s="3"/>
      <c r="R15" s="3"/>
      <c r="S15" s="3"/>
    </row>
    <row r="16" spans="2:19" ht="12">
      <c r="B16" s="1" t="s">
        <v>9</v>
      </c>
      <c r="C16" s="3">
        <f>293.3/1.5</f>
        <v>195.53333333333333</v>
      </c>
      <c r="D16" s="3">
        <f>355.6/1.5</f>
        <v>237.0666666666667</v>
      </c>
      <c r="E16" s="3">
        <f>393.6/1.5</f>
        <v>262.40000000000003</v>
      </c>
      <c r="F16" s="3">
        <f>774.6*1000/192/15</f>
        <v>268.9583333333333</v>
      </c>
      <c r="G16" s="3">
        <v>248</v>
      </c>
      <c r="H16" s="3">
        <v>240</v>
      </c>
      <c r="I16" s="3">
        <v>332</v>
      </c>
      <c r="J16" s="3">
        <v>340</v>
      </c>
      <c r="K16" s="3">
        <v>310</v>
      </c>
      <c r="L16" s="3">
        <f>4521/15</f>
        <v>301.4</v>
      </c>
      <c r="M16" s="3">
        <v>302.2</v>
      </c>
      <c r="N16" s="3">
        <v>296.26666666666665</v>
      </c>
      <c r="O16" s="3"/>
      <c r="P16" s="3"/>
      <c r="Q16" s="3"/>
      <c r="R16" s="3"/>
      <c r="S16" s="3"/>
    </row>
    <row r="17" spans="2:19" ht="12">
      <c r="B17" s="1" t="s">
        <v>10</v>
      </c>
      <c r="C17" s="3">
        <f>33.5/1.5</f>
        <v>22.333333333333332</v>
      </c>
      <c r="D17" s="3">
        <f>29.1/1.5</f>
        <v>19.400000000000002</v>
      </c>
      <c r="E17" s="3">
        <f>26.7/1.5</f>
        <v>17.8</v>
      </c>
      <c r="F17" s="3">
        <f>36.7*1000/161/15</f>
        <v>15.196687370600413</v>
      </c>
      <c r="G17" s="3">
        <v>14</v>
      </c>
      <c r="H17" s="3">
        <v>13</v>
      </c>
      <c r="I17" s="3">
        <v>15</v>
      </c>
      <c r="J17" s="3">
        <v>15</v>
      </c>
      <c r="K17" s="3">
        <v>12.5</v>
      </c>
      <c r="L17" s="3">
        <f>179/15</f>
        <v>11.933333333333334</v>
      </c>
      <c r="M17" s="3">
        <v>11.733333333333334</v>
      </c>
      <c r="N17" s="3">
        <v>11.066666666666666</v>
      </c>
      <c r="O17" s="3"/>
      <c r="P17" s="3"/>
      <c r="Q17" s="3"/>
      <c r="R17" s="3"/>
      <c r="S17" s="3"/>
    </row>
    <row r="18" spans="2:19" ht="12">
      <c r="B18" s="1" t="s">
        <v>11</v>
      </c>
      <c r="C18" s="3">
        <f>12.8/1.5</f>
        <v>8.533333333333333</v>
      </c>
      <c r="D18" s="3">
        <f>11.2/1.5</f>
        <v>7.466666666666666</v>
      </c>
      <c r="E18" s="3">
        <f>13.6/1.5</f>
        <v>9.066666666666666</v>
      </c>
      <c r="F18" s="3">
        <f>20.2*1000/155/15</f>
        <v>8.688172043010752</v>
      </c>
      <c r="G18" s="3">
        <v>8</v>
      </c>
      <c r="H18" s="3">
        <v>7</v>
      </c>
      <c r="I18" s="3">
        <v>10</v>
      </c>
      <c r="J18" s="3">
        <v>12</v>
      </c>
      <c r="K18" s="3">
        <v>10.6</v>
      </c>
      <c r="L18" s="3">
        <f>151/15</f>
        <v>10.066666666666666</v>
      </c>
      <c r="M18" s="3">
        <v>9.266666666666666</v>
      </c>
      <c r="N18" s="3">
        <v>9.2</v>
      </c>
      <c r="O18" s="3"/>
      <c r="P18" s="3"/>
      <c r="Q18" s="3"/>
      <c r="R18" s="3"/>
      <c r="S18" s="3"/>
    </row>
    <row r="19" spans="2:19" ht="12">
      <c r="B19" s="1" t="s">
        <v>12</v>
      </c>
      <c r="C19" s="3">
        <f>210.6/1.5</f>
        <v>140.4</v>
      </c>
      <c r="D19" s="3">
        <f>311.2/1.5</f>
        <v>207.46666666666667</v>
      </c>
      <c r="E19" s="3">
        <f>293.4/1.5</f>
        <v>195.6</v>
      </c>
      <c r="F19" s="3">
        <f>278.2*1000/128/15</f>
        <v>144.89583333333334</v>
      </c>
      <c r="G19" s="3">
        <v>141</v>
      </c>
      <c r="H19" s="3">
        <v>191</v>
      </c>
      <c r="I19" s="3">
        <v>361</v>
      </c>
      <c r="J19" s="3">
        <v>379</v>
      </c>
      <c r="K19" s="3">
        <v>409.2</v>
      </c>
      <c r="L19" s="3">
        <f>6514/15</f>
        <v>434.26666666666665</v>
      </c>
      <c r="M19" s="3">
        <v>435.2</v>
      </c>
      <c r="N19" s="3">
        <v>441.0666666666667</v>
      </c>
      <c r="O19" s="3"/>
      <c r="P19" s="3"/>
      <c r="Q19" s="3"/>
      <c r="R19" s="3"/>
      <c r="S19" s="3"/>
    </row>
    <row r="20" spans="2:19" ht="12">
      <c r="B20" s="1" t="s">
        <v>13</v>
      </c>
      <c r="C20" s="3">
        <f>2.7/1.5</f>
        <v>1.8</v>
      </c>
      <c r="D20" s="3">
        <f>5.4/1.5</f>
        <v>3.6</v>
      </c>
      <c r="E20" s="3">
        <f>8.9/1.5</f>
        <v>5.933333333333334</v>
      </c>
      <c r="F20" s="3">
        <f>20.9*1000/253/15</f>
        <v>5.507246376811594</v>
      </c>
      <c r="G20" s="3">
        <v>6</v>
      </c>
      <c r="H20" s="3">
        <v>11</v>
      </c>
      <c r="I20" s="3">
        <v>24</v>
      </c>
      <c r="J20" s="3">
        <v>25</v>
      </c>
      <c r="K20" s="3">
        <v>21.9</v>
      </c>
      <c r="L20" s="3">
        <f>371/15</f>
        <v>24.733333333333334</v>
      </c>
      <c r="M20" s="3">
        <v>25.8</v>
      </c>
      <c r="N20" s="3">
        <v>25.266666666666666</v>
      </c>
      <c r="O20" s="3"/>
      <c r="P20" s="3"/>
      <c r="Q20" s="3"/>
      <c r="R20" s="3"/>
      <c r="S20" s="3"/>
    </row>
    <row r="21" spans="3:19" ht="1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>
      <c r="A22" s="1" t="s">
        <v>14</v>
      </c>
      <c r="C22" s="3">
        <f aca="true" t="shared" si="2" ref="C22:N22">SUM(C23:C28)</f>
        <v>6.266666666666667</v>
      </c>
      <c r="D22" s="3">
        <f t="shared" si="2"/>
        <v>9.2</v>
      </c>
      <c r="E22" s="3">
        <f t="shared" si="2"/>
        <v>10.8</v>
      </c>
      <c r="F22" s="3">
        <f t="shared" si="2"/>
        <v>10.488061157751403</v>
      </c>
      <c r="G22" s="3">
        <f t="shared" si="2"/>
        <v>12</v>
      </c>
      <c r="H22" s="3">
        <f t="shared" si="2"/>
        <v>20</v>
      </c>
      <c r="I22" s="3">
        <f t="shared" si="2"/>
        <v>48</v>
      </c>
      <c r="J22" s="3">
        <f t="shared" si="2"/>
        <v>40</v>
      </c>
      <c r="K22" s="3">
        <f t="shared" si="2"/>
        <v>36.400000000000006</v>
      </c>
      <c r="L22" s="3">
        <f t="shared" si="2"/>
        <v>42.93333333333334</v>
      </c>
      <c r="M22" s="3">
        <f t="shared" si="2"/>
        <v>47.06666666666667</v>
      </c>
      <c r="N22" s="3">
        <f t="shared" si="2"/>
        <v>40.2</v>
      </c>
      <c r="O22" s="3"/>
      <c r="P22" s="3"/>
      <c r="Q22" s="3"/>
      <c r="R22" s="3"/>
      <c r="S22" s="3"/>
    </row>
    <row r="23" spans="2:19" ht="12">
      <c r="B23" s="1" t="s">
        <v>15</v>
      </c>
      <c r="C23" s="3">
        <f>8.6/1.5</f>
        <v>5.733333333333333</v>
      </c>
      <c r="D23" s="3">
        <f>13.1/1.5</f>
        <v>8.733333333333333</v>
      </c>
      <c r="E23" s="3">
        <f>15.4/1.5</f>
        <v>10.266666666666667</v>
      </c>
      <c r="F23" s="3">
        <f>36.7*1000/241/15</f>
        <v>10.152143845089904</v>
      </c>
      <c r="G23" s="3">
        <v>11</v>
      </c>
      <c r="H23" s="3">
        <v>20</v>
      </c>
      <c r="I23" s="3">
        <v>48</v>
      </c>
      <c r="J23" s="3">
        <v>40</v>
      </c>
      <c r="K23" s="3">
        <v>35.9</v>
      </c>
      <c r="L23" s="3">
        <f>635/15</f>
        <v>42.333333333333336</v>
      </c>
      <c r="M23" s="3">
        <v>46.46666666666667</v>
      </c>
      <c r="N23" s="3">
        <v>39.53333333333333</v>
      </c>
      <c r="O23" s="3"/>
      <c r="P23" s="3"/>
      <c r="Q23" s="3"/>
      <c r="R23" s="3"/>
      <c r="S23" s="3"/>
    </row>
    <row r="24" spans="2:19" ht="12">
      <c r="B24" s="1" t="s">
        <v>16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0.1</v>
      </c>
      <c r="L24" s="3">
        <f>2/15</f>
        <v>0.13333333333333333</v>
      </c>
      <c r="M24" s="3">
        <v>0.13333333333333333</v>
      </c>
      <c r="N24" s="3">
        <v>0.2</v>
      </c>
      <c r="O24" s="3"/>
      <c r="P24" s="3"/>
      <c r="Q24" s="3"/>
      <c r="R24" s="3"/>
      <c r="S24" s="3"/>
    </row>
    <row r="25" spans="2:19" ht="12">
      <c r="B25" s="1" t="s">
        <v>17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0.2</v>
      </c>
      <c r="L25" s="3">
        <f>3/15</f>
        <v>0.2</v>
      </c>
      <c r="M25" s="3">
        <v>0.2</v>
      </c>
      <c r="N25" s="3">
        <v>0.13333333333333333</v>
      </c>
      <c r="O25" s="3"/>
      <c r="P25" s="3"/>
      <c r="Q25" s="3"/>
      <c r="R25" s="3"/>
      <c r="S25" s="3"/>
    </row>
    <row r="26" spans="2:19" ht="12">
      <c r="B26" s="1" t="s">
        <v>18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/>
      <c r="P26" s="3"/>
      <c r="Q26" s="3"/>
      <c r="R26" s="3"/>
      <c r="S26" s="3"/>
    </row>
    <row r="27" spans="2:19" ht="12">
      <c r="B27" s="1" t="s">
        <v>19</v>
      </c>
      <c r="C27" s="3">
        <f>0.8/1.5</f>
        <v>0.5333333333333333</v>
      </c>
      <c r="D27" s="3">
        <f>0.7/1.5</f>
        <v>0.4666666666666666</v>
      </c>
      <c r="E27" s="3">
        <f>0.8/1.5</f>
        <v>0.5333333333333333</v>
      </c>
      <c r="F27" s="3">
        <f>1.3*1000/258/15</f>
        <v>0.3359173126614987</v>
      </c>
      <c r="G27" s="3">
        <v>1</v>
      </c>
      <c r="H27" s="3">
        <v>0</v>
      </c>
      <c r="I27" s="3">
        <v>0</v>
      </c>
      <c r="J27" s="3">
        <v>0</v>
      </c>
      <c r="K27" s="3">
        <v>0.2</v>
      </c>
      <c r="L27" s="3">
        <f>4/15</f>
        <v>0.26666666666666666</v>
      </c>
      <c r="M27" s="3">
        <v>0.26666666666666666</v>
      </c>
      <c r="N27" s="3">
        <v>0.3333333333333333</v>
      </c>
      <c r="O27" s="3"/>
      <c r="P27" s="3"/>
      <c r="Q27" s="3"/>
      <c r="R27" s="3"/>
      <c r="S27" s="3"/>
    </row>
    <row r="28" spans="2:19" ht="12">
      <c r="B28" s="1" t="s">
        <v>20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/>
      <c r="P28" s="3"/>
      <c r="Q28" s="3"/>
      <c r="R28" s="3"/>
      <c r="S28" s="3"/>
    </row>
    <row r="29" spans="3:19" ht="1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>
      <c r="A30" s="1" t="s">
        <v>21</v>
      </c>
      <c r="C30" s="3">
        <f aca="true" t="shared" si="3" ref="C30:N30">SUM(C31:C34)</f>
        <v>179.26666666666668</v>
      </c>
      <c r="D30" s="3">
        <f t="shared" si="3"/>
        <v>239.13333333333333</v>
      </c>
      <c r="E30" s="3">
        <f t="shared" si="3"/>
        <v>267</v>
      </c>
      <c r="F30" s="3">
        <f t="shared" si="3"/>
        <v>267.1007665009664</v>
      </c>
      <c r="G30" s="3">
        <f t="shared" si="3"/>
        <v>201</v>
      </c>
      <c r="H30" s="3">
        <f t="shared" si="3"/>
        <v>218</v>
      </c>
      <c r="I30" s="3">
        <f t="shared" si="3"/>
        <v>279</v>
      </c>
      <c r="J30" s="3">
        <f t="shared" si="3"/>
        <v>285</v>
      </c>
      <c r="K30" s="3">
        <f t="shared" si="3"/>
        <v>262.6</v>
      </c>
      <c r="L30" s="3">
        <f t="shared" si="3"/>
        <v>262.9333333333333</v>
      </c>
      <c r="M30" s="3">
        <f t="shared" si="3"/>
        <v>249.66666666666666</v>
      </c>
      <c r="N30" s="3">
        <f t="shared" si="3"/>
        <v>234</v>
      </c>
      <c r="O30" s="3"/>
      <c r="P30" s="3"/>
      <c r="Q30" s="3"/>
      <c r="R30" s="3"/>
      <c r="S30" s="3"/>
    </row>
    <row r="31" spans="2:19" ht="12">
      <c r="B31" s="1" t="s">
        <v>22</v>
      </c>
      <c r="C31" s="3">
        <f>8.5/1.5</f>
        <v>5.666666666666667</v>
      </c>
      <c r="D31" s="3">
        <f>13.3/1.5</f>
        <v>8.866666666666667</v>
      </c>
      <c r="E31" s="3">
        <f>13.7/1.5</f>
        <v>9.133333333333333</v>
      </c>
      <c r="F31" s="3">
        <f>21.2*1000/188/15</f>
        <v>7.517730496453901</v>
      </c>
      <c r="G31" s="3">
        <v>6</v>
      </c>
      <c r="H31" s="3">
        <v>6</v>
      </c>
      <c r="I31" s="3">
        <v>7</v>
      </c>
      <c r="J31" s="3">
        <v>8</v>
      </c>
      <c r="K31" s="3">
        <v>8.4</v>
      </c>
      <c r="L31" s="3">
        <f>132/15</f>
        <v>8.8</v>
      </c>
      <c r="M31" s="3">
        <v>8.533333333333333</v>
      </c>
      <c r="N31" s="3">
        <v>8.2</v>
      </c>
      <c r="O31" s="3"/>
      <c r="P31" s="3"/>
      <c r="Q31" s="3"/>
      <c r="R31" s="3"/>
      <c r="S31" s="3"/>
    </row>
    <row r="32" spans="2:19" ht="12">
      <c r="B32" s="1" t="s">
        <v>23</v>
      </c>
      <c r="C32" s="3">
        <f>116.5/1.5</f>
        <v>77.66666666666667</v>
      </c>
      <c r="D32" s="3">
        <f>125.7/1.5</f>
        <v>83.8</v>
      </c>
      <c r="E32" s="3">
        <f>163.3/1.5</f>
        <v>108.86666666666667</v>
      </c>
      <c r="F32" s="3">
        <f>461.2*1000/234/15</f>
        <v>131.3960113960114</v>
      </c>
      <c r="G32" s="3">
        <v>94</v>
      </c>
      <c r="H32" s="3">
        <v>100</v>
      </c>
      <c r="I32" s="3">
        <v>134</v>
      </c>
      <c r="J32" s="3">
        <v>136</v>
      </c>
      <c r="K32" s="3">
        <v>124.7</v>
      </c>
      <c r="L32" s="3">
        <f>1820/15</f>
        <v>121.33333333333333</v>
      </c>
      <c r="M32" s="3">
        <v>116.4</v>
      </c>
      <c r="N32" s="3">
        <v>108.73333333333333</v>
      </c>
      <c r="O32" s="3"/>
      <c r="P32" s="3"/>
      <c r="Q32" s="3"/>
      <c r="R32" s="3"/>
      <c r="S32" s="3"/>
    </row>
    <row r="33" spans="2:19" ht="12">
      <c r="B33" s="1" t="s">
        <v>24</v>
      </c>
      <c r="C33" s="3">
        <f>0.3/1.5</f>
        <v>0.19999999999999998</v>
      </c>
      <c r="D33" s="3">
        <f>0.2/1.5</f>
        <v>0.13333333333333333</v>
      </c>
      <c r="E33" s="3">
        <f>0.2/1.5</f>
        <v>0.13333333333333333</v>
      </c>
      <c r="F33" s="3">
        <f>0.3*1000/150/15</f>
        <v>0.13333333333333333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f>9/15</f>
        <v>0.6</v>
      </c>
      <c r="M33" s="3">
        <v>0.26666666666666666</v>
      </c>
      <c r="N33" s="3">
        <v>0.6</v>
      </c>
      <c r="O33" s="3"/>
      <c r="P33" s="3"/>
      <c r="Q33" s="3"/>
      <c r="R33" s="3"/>
      <c r="S33" s="3"/>
    </row>
    <row r="34" spans="2:19" ht="12">
      <c r="B34" s="1" t="s">
        <v>25</v>
      </c>
      <c r="C34" s="3">
        <f>143.6/1.5</f>
        <v>95.73333333333333</v>
      </c>
      <c r="D34" s="3">
        <f>219.5/1.5</f>
        <v>146.33333333333334</v>
      </c>
      <c r="E34" s="3">
        <f>223.3/1.5</f>
        <v>148.86666666666667</v>
      </c>
      <c r="F34" s="3">
        <f>286.2*1000/149/15</f>
        <v>128.05369127516778</v>
      </c>
      <c r="G34" s="3">
        <v>101</v>
      </c>
      <c r="H34" s="3">
        <v>112</v>
      </c>
      <c r="I34" s="3">
        <v>138</v>
      </c>
      <c r="J34" s="3">
        <v>141</v>
      </c>
      <c r="K34" s="3">
        <v>129.5</v>
      </c>
      <c r="L34" s="3">
        <f>1983/15</f>
        <v>132.2</v>
      </c>
      <c r="M34" s="3">
        <v>124.46666666666665</v>
      </c>
      <c r="N34" s="3">
        <v>116.46666666666667</v>
      </c>
      <c r="O34" s="3"/>
      <c r="P34" s="3"/>
      <c r="Q34" s="3"/>
      <c r="R34" s="3"/>
      <c r="S34" s="3"/>
    </row>
    <row r="35" spans="3:19" ht="1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>
      <c r="A36" s="1" t="s">
        <v>26</v>
      </c>
      <c r="C36" s="3">
        <f aca="true" t="shared" si="4" ref="C36:N36">SUM(C37:C39)</f>
        <v>126.66666666666666</v>
      </c>
      <c r="D36" s="3">
        <f t="shared" si="4"/>
        <v>133.26666666666665</v>
      </c>
      <c r="E36" s="3">
        <f t="shared" si="4"/>
        <v>128.13333333333333</v>
      </c>
      <c r="F36" s="3">
        <f t="shared" si="4"/>
        <v>121.09631341324754</v>
      </c>
      <c r="G36" s="3">
        <f t="shared" si="4"/>
        <v>119</v>
      </c>
      <c r="H36" s="3">
        <f t="shared" si="4"/>
        <v>133</v>
      </c>
      <c r="I36" s="3">
        <f t="shared" si="4"/>
        <v>183</v>
      </c>
      <c r="J36" s="3">
        <f t="shared" si="4"/>
        <v>217</v>
      </c>
      <c r="K36" s="3">
        <f t="shared" si="4"/>
        <v>222.5</v>
      </c>
      <c r="L36" s="3">
        <f t="shared" si="4"/>
        <v>226.5333333333333</v>
      </c>
      <c r="M36" s="3">
        <f t="shared" si="4"/>
        <v>230</v>
      </c>
      <c r="N36" s="3">
        <f t="shared" si="4"/>
        <v>228.73333333333332</v>
      </c>
      <c r="O36" s="3"/>
      <c r="P36" s="3"/>
      <c r="Q36" s="3"/>
      <c r="R36" s="3"/>
      <c r="S36" s="3"/>
    </row>
    <row r="37" spans="2:19" ht="12">
      <c r="B37" s="1" t="s">
        <v>27</v>
      </c>
      <c r="C37" s="3">
        <f>54.6/1.5</f>
        <v>36.4</v>
      </c>
      <c r="D37" s="3">
        <f>61.1/1.5</f>
        <v>40.733333333333334</v>
      </c>
      <c r="E37" s="3">
        <f>56.2/1.5</f>
        <v>37.46666666666667</v>
      </c>
      <c r="F37" s="3">
        <f>124.9*1000/244/15</f>
        <v>34.12568306010929</v>
      </c>
      <c r="G37" s="3">
        <v>34</v>
      </c>
      <c r="H37" s="3">
        <v>43</v>
      </c>
      <c r="I37" s="3">
        <v>66</v>
      </c>
      <c r="J37" s="3">
        <v>71</v>
      </c>
      <c r="K37" s="3">
        <v>65.4</v>
      </c>
      <c r="L37" s="3">
        <f>971/15</f>
        <v>64.73333333333333</v>
      </c>
      <c r="M37" s="3">
        <v>65.73333333333333</v>
      </c>
      <c r="N37" s="3">
        <v>63.733333333333334</v>
      </c>
      <c r="O37" s="3"/>
      <c r="P37" s="3"/>
      <c r="Q37" s="3"/>
      <c r="R37" s="3"/>
      <c r="S37" s="3"/>
    </row>
    <row r="38" spans="2:19" ht="12">
      <c r="B38" s="1" t="s">
        <v>28</v>
      </c>
      <c r="C38" s="3">
        <f>65.8/1.5</f>
        <v>43.86666666666667</v>
      </c>
      <c r="D38" s="3">
        <f>67.3/1.5</f>
        <v>44.86666666666667</v>
      </c>
      <c r="E38" s="3">
        <f>62.9/1.5</f>
        <v>41.93333333333333</v>
      </c>
      <c r="F38" s="3">
        <f>81.7*1000/146/15</f>
        <v>37.30593607305936</v>
      </c>
      <c r="G38" s="3">
        <v>36</v>
      </c>
      <c r="H38" s="3">
        <v>38</v>
      </c>
      <c r="I38" s="3">
        <v>53</v>
      </c>
      <c r="J38" s="3">
        <v>66</v>
      </c>
      <c r="K38" s="3">
        <v>67.4</v>
      </c>
      <c r="L38" s="3">
        <f>1028/15</f>
        <v>68.53333333333333</v>
      </c>
      <c r="M38" s="3">
        <v>72.4</v>
      </c>
      <c r="N38" s="3">
        <v>73.33333333333333</v>
      </c>
      <c r="O38" s="3"/>
      <c r="P38" s="3"/>
      <c r="Q38" s="3"/>
      <c r="R38" s="3"/>
      <c r="S38" s="3"/>
    </row>
    <row r="39" spans="2:19" ht="12">
      <c r="B39" s="1" t="s">
        <v>29</v>
      </c>
      <c r="C39" s="3">
        <f>69.6/1.5</f>
        <v>46.4</v>
      </c>
      <c r="D39" s="3">
        <f>71.5/1.5</f>
        <v>47.666666666666664</v>
      </c>
      <c r="E39" s="3">
        <f>73.1/1.5</f>
        <v>48.73333333333333</v>
      </c>
      <c r="F39" s="3">
        <f>125.9*1000/169/15</f>
        <v>49.6646942800789</v>
      </c>
      <c r="G39" s="3">
        <v>49</v>
      </c>
      <c r="H39" s="3">
        <v>52</v>
      </c>
      <c r="I39" s="3">
        <v>64</v>
      </c>
      <c r="J39" s="3">
        <v>80</v>
      </c>
      <c r="K39" s="3">
        <v>89.7</v>
      </c>
      <c r="L39" s="3">
        <f>1399/15</f>
        <v>93.26666666666667</v>
      </c>
      <c r="M39" s="3">
        <v>91.86666666666667</v>
      </c>
      <c r="N39" s="3">
        <v>91.66666666666666</v>
      </c>
      <c r="O39" s="3"/>
      <c r="P39" s="3"/>
      <c r="Q39" s="3"/>
      <c r="R39" s="3"/>
      <c r="S39" s="3"/>
    </row>
    <row r="40" spans="3:19" ht="12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>
      <c r="A41" s="1" t="s">
        <v>30</v>
      </c>
      <c r="C41" s="3">
        <f aca="true" t="shared" si="5" ref="C41:H41">SUM(C42:C44)</f>
        <v>620.1333333333333</v>
      </c>
      <c r="D41" s="3">
        <f t="shared" si="5"/>
        <v>626.8000000000001</v>
      </c>
      <c r="E41" s="3">
        <f t="shared" si="5"/>
        <v>649.7333333333333</v>
      </c>
      <c r="F41" s="3">
        <f t="shared" si="5"/>
        <v>666.9414496146718</v>
      </c>
      <c r="G41" s="3">
        <f t="shared" si="5"/>
        <v>589</v>
      </c>
      <c r="H41" s="3">
        <f t="shared" si="5"/>
        <v>623</v>
      </c>
      <c r="I41" s="3">
        <f aca="true" t="shared" si="6" ref="I41:N41">SUM(I42:I45)</f>
        <v>659</v>
      </c>
      <c r="J41" s="3">
        <f t="shared" si="6"/>
        <v>689</v>
      </c>
      <c r="K41" s="3">
        <f t="shared" si="6"/>
        <v>659.8000000000001</v>
      </c>
      <c r="L41" s="3">
        <f t="shared" si="6"/>
        <v>615.2666666666667</v>
      </c>
      <c r="M41" s="3">
        <f t="shared" si="6"/>
        <v>604.6666666666667</v>
      </c>
      <c r="N41" s="3">
        <f t="shared" si="6"/>
        <v>617.9333333333333</v>
      </c>
      <c r="O41" s="3"/>
      <c r="P41" s="3"/>
      <c r="Q41" s="3"/>
      <c r="R41" s="3"/>
      <c r="S41" s="3"/>
    </row>
    <row r="42" spans="2:19" ht="12">
      <c r="B42" s="1" t="s">
        <v>31</v>
      </c>
      <c r="C42" s="3">
        <f>580/1.5</f>
        <v>386.6666666666667</v>
      </c>
      <c r="D42" s="3">
        <f>607/1.5</f>
        <v>404.6666666666667</v>
      </c>
      <c r="E42" s="3">
        <f>645/1.5</f>
        <v>430</v>
      </c>
      <c r="F42" s="3">
        <f>1302*1000/201/15</f>
        <v>431.8407960199005</v>
      </c>
      <c r="G42" s="3">
        <v>364</v>
      </c>
      <c r="H42" s="3">
        <v>385</v>
      </c>
      <c r="I42" s="3">
        <f>401-I45</f>
        <v>363.4666666666667</v>
      </c>
      <c r="J42" s="3">
        <f>415-J45</f>
        <v>374.36</v>
      </c>
      <c r="K42" s="3">
        <f>394.5-K45</f>
        <v>355.43333333333334</v>
      </c>
      <c r="L42" s="3">
        <f>4978/15</f>
        <v>331.8666666666667</v>
      </c>
      <c r="M42" s="3">
        <v>324.06666666666666</v>
      </c>
      <c r="N42" s="3">
        <v>324</v>
      </c>
      <c r="O42" s="3"/>
      <c r="P42" s="3"/>
      <c r="Q42" s="3"/>
      <c r="R42" s="3"/>
      <c r="S42" s="3"/>
    </row>
    <row r="43" spans="2:19" ht="12">
      <c r="B43" s="1" t="s">
        <v>32</v>
      </c>
      <c r="C43" s="3">
        <f>230.8/1.5</f>
        <v>153.86666666666667</v>
      </c>
      <c r="D43" s="3">
        <f>212.3/1.5</f>
        <v>141.53333333333333</v>
      </c>
      <c r="E43" s="3">
        <f>201/1.5</f>
        <v>134</v>
      </c>
      <c r="F43" s="3">
        <f>323.8*1000/150/15</f>
        <v>143.9111111111111</v>
      </c>
      <c r="G43" s="3">
        <v>146</v>
      </c>
      <c r="H43" s="3">
        <v>157</v>
      </c>
      <c r="I43" s="3">
        <v>171</v>
      </c>
      <c r="J43" s="3">
        <v>184</v>
      </c>
      <c r="K43" s="3">
        <v>173.7</v>
      </c>
      <c r="L43" s="3">
        <f>2357/15</f>
        <v>157.13333333333333</v>
      </c>
      <c r="M43" s="3">
        <v>156.8</v>
      </c>
      <c r="N43" s="3">
        <v>167.26666666666668</v>
      </c>
      <c r="O43" s="3"/>
      <c r="P43" s="3"/>
      <c r="Q43" s="3"/>
      <c r="R43" s="3"/>
      <c r="S43" s="3"/>
    </row>
    <row r="44" spans="2:19" ht="12">
      <c r="B44" s="1" t="s">
        <v>33</v>
      </c>
      <c r="C44" s="3">
        <f>119.4/1.5</f>
        <v>79.60000000000001</v>
      </c>
      <c r="D44" s="3">
        <f>120.9/1.5</f>
        <v>80.60000000000001</v>
      </c>
      <c r="E44" s="3">
        <f>128.6/1.5</f>
        <v>85.73333333333333</v>
      </c>
      <c r="F44" s="3">
        <f>348.8*1000/255/15</f>
        <v>91.18954248366012</v>
      </c>
      <c r="G44" s="3">
        <v>79</v>
      </c>
      <c r="H44" s="3">
        <v>81</v>
      </c>
      <c r="I44" s="3">
        <v>87</v>
      </c>
      <c r="J44" s="3">
        <v>90</v>
      </c>
      <c r="K44" s="3">
        <v>91.6</v>
      </c>
      <c r="L44" s="3">
        <f>1344/15</f>
        <v>89.6</v>
      </c>
      <c r="M44" s="3">
        <v>87.46666666666667</v>
      </c>
      <c r="N44" s="3">
        <v>88.26666666666667</v>
      </c>
      <c r="O44" s="3"/>
      <c r="P44" s="3"/>
      <c r="Q44" s="3"/>
      <c r="R44" s="3"/>
      <c r="S44" s="3"/>
    </row>
    <row r="45" spans="2:19" ht="12">
      <c r="B45" s="1" t="s">
        <v>34</v>
      </c>
      <c r="C45" s="4" t="s">
        <v>35</v>
      </c>
      <c r="D45" s="4" t="s">
        <v>35</v>
      </c>
      <c r="E45" s="4" t="s">
        <v>35</v>
      </c>
      <c r="F45" s="4" t="s">
        <v>35</v>
      </c>
      <c r="G45" s="4" t="s">
        <v>35</v>
      </c>
      <c r="H45" s="4" t="s">
        <v>35</v>
      </c>
      <c r="I45" s="3">
        <f>563/15</f>
        <v>37.53333333333333</v>
      </c>
      <c r="J45" s="3">
        <f>609.6/15</f>
        <v>40.64</v>
      </c>
      <c r="K45" s="3">
        <f>586/15</f>
        <v>39.06666666666667</v>
      </c>
      <c r="L45" s="3">
        <f>550/15</f>
        <v>36.666666666666664</v>
      </c>
      <c r="M45" s="3">
        <v>36.333333333333336</v>
      </c>
      <c r="N45" s="3">
        <v>38.4</v>
      </c>
      <c r="O45" s="3"/>
      <c r="P45" s="3"/>
      <c r="Q45" s="3"/>
      <c r="R45" s="3"/>
      <c r="S45" s="3"/>
    </row>
    <row r="46" spans="3:19" ht="1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>
      <c r="A47" s="1" t="s">
        <v>36</v>
      </c>
      <c r="C47" s="3">
        <f aca="true" t="shared" si="7" ref="C47:N47">SUM(C48:C51)</f>
        <v>123.53333333333335</v>
      </c>
      <c r="D47" s="3">
        <f t="shared" si="7"/>
        <v>123.19999999999999</v>
      </c>
      <c r="E47" s="3">
        <f t="shared" si="7"/>
        <v>134.73333333333332</v>
      </c>
      <c r="F47" s="3">
        <f t="shared" si="7"/>
        <v>151.76533896525746</v>
      </c>
      <c r="G47" s="3">
        <f t="shared" si="7"/>
        <v>151</v>
      </c>
      <c r="H47" s="3">
        <f t="shared" si="7"/>
        <v>180</v>
      </c>
      <c r="I47" s="3">
        <f t="shared" si="7"/>
        <v>222</v>
      </c>
      <c r="J47" s="3">
        <f t="shared" si="7"/>
        <v>232</v>
      </c>
      <c r="K47" s="3">
        <f t="shared" si="7"/>
        <v>219.5</v>
      </c>
      <c r="L47" s="3">
        <f t="shared" si="7"/>
        <v>215.2</v>
      </c>
      <c r="M47" s="3">
        <f t="shared" si="7"/>
        <v>209.93333333333337</v>
      </c>
      <c r="N47" s="3">
        <f t="shared" si="7"/>
        <v>207.6</v>
      </c>
      <c r="O47" s="3"/>
      <c r="P47" s="3"/>
      <c r="Q47" s="3"/>
      <c r="R47" s="3"/>
      <c r="S47" s="3"/>
    </row>
    <row r="48" spans="2:19" ht="12">
      <c r="B48" s="1" t="s">
        <v>37</v>
      </c>
      <c r="C48" s="3">
        <f>128.3/1.5</f>
        <v>85.53333333333335</v>
      </c>
      <c r="D48" s="3">
        <f>131.1/1.5</f>
        <v>87.39999999999999</v>
      </c>
      <c r="E48" s="3">
        <f>142.4/1.5</f>
        <v>94.93333333333334</v>
      </c>
      <c r="F48" s="3">
        <f>325.1*1000/197/15</f>
        <v>110.01692047377327</v>
      </c>
      <c r="G48" s="3">
        <v>110</v>
      </c>
      <c r="H48" s="3">
        <v>134</v>
      </c>
      <c r="I48" s="3">
        <v>163</v>
      </c>
      <c r="J48" s="3">
        <v>168</v>
      </c>
      <c r="K48" s="3">
        <v>158.1</v>
      </c>
      <c r="L48" s="3">
        <f>2352/15</f>
        <v>156.8</v>
      </c>
      <c r="M48" s="3">
        <v>153.4</v>
      </c>
      <c r="N48" s="3">
        <v>151.13333333333333</v>
      </c>
      <c r="O48" s="3"/>
      <c r="P48" s="3"/>
      <c r="Q48" s="3"/>
      <c r="R48" s="3"/>
      <c r="S48" s="3"/>
    </row>
    <row r="49" spans="2:19" ht="12">
      <c r="B49" s="1" t="s">
        <v>38</v>
      </c>
      <c r="C49" s="3">
        <f>23.4/1.5</f>
        <v>15.6</v>
      </c>
      <c r="D49" s="3">
        <f>18.7/1.5</f>
        <v>12.466666666666667</v>
      </c>
      <c r="E49" s="3">
        <f>19.7/1.5</f>
        <v>13.133333333333333</v>
      </c>
      <c r="F49" s="3">
        <f>28.2*1000/150/15</f>
        <v>12.533333333333333</v>
      </c>
      <c r="G49" s="3">
        <v>13</v>
      </c>
      <c r="H49" s="3">
        <v>17</v>
      </c>
      <c r="I49" s="3">
        <v>26</v>
      </c>
      <c r="J49" s="3">
        <v>31</v>
      </c>
      <c r="K49" s="3">
        <v>30.5</v>
      </c>
      <c r="L49" s="3">
        <f>430/15</f>
        <v>28.666666666666668</v>
      </c>
      <c r="M49" s="3">
        <v>26.8</v>
      </c>
      <c r="N49" s="3">
        <v>25.666666666666668</v>
      </c>
      <c r="O49" s="3"/>
      <c r="P49" s="3"/>
      <c r="Q49" s="3"/>
      <c r="R49" s="3"/>
      <c r="S49" s="3"/>
    </row>
    <row r="50" spans="2:19" ht="12">
      <c r="B50" s="1" t="s">
        <v>39</v>
      </c>
      <c r="C50" s="3">
        <f>33.6/1.5</f>
        <v>22.400000000000002</v>
      </c>
      <c r="D50" s="3">
        <f>35/1.5</f>
        <v>23.333333333333332</v>
      </c>
      <c r="E50" s="3">
        <f>39.9/1.5</f>
        <v>26.599999999999998</v>
      </c>
      <c r="F50" s="3">
        <f>59.9*1000/137/15</f>
        <v>29.148418491484183</v>
      </c>
      <c r="G50" s="3">
        <v>28</v>
      </c>
      <c r="H50" s="3">
        <v>29</v>
      </c>
      <c r="I50" s="3">
        <v>33</v>
      </c>
      <c r="J50" s="3">
        <v>33</v>
      </c>
      <c r="K50" s="3">
        <v>30.9</v>
      </c>
      <c r="L50" s="3">
        <f>446/15</f>
        <v>29.733333333333334</v>
      </c>
      <c r="M50" s="3">
        <v>29.733333333333338</v>
      </c>
      <c r="N50" s="3">
        <v>30.8</v>
      </c>
      <c r="O50" s="3"/>
      <c r="P50" s="3"/>
      <c r="Q50" s="3"/>
      <c r="R50" s="3"/>
      <c r="S50" s="3"/>
    </row>
    <row r="51" spans="2:19" ht="12">
      <c r="B51" s="1" t="s">
        <v>40</v>
      </c>
      <c r="C51" s="3">
        <v>0</v>
      </c>
      <c r="D51" s="3">
        <v>0</v>
      </c>
      <c r="E51" s="3">
        <f>0.1/1.5</f>
        <v>0.06666666666666667</v>
      </c>
      <c r="F51" s="3">
        <f>0.2*1000/200/15</f>
        <v>0.06666666666666667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/>
      <c r="P51" s="3"/>
      <c r="Q51" s="3"/>
      <c r="R51" s="3"/>
      <c r="S51" s="3"/>
    </row>
    <row r="52" spans="3:19" ht="1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>
      <c r="A53" s="1" t="s">
        <v>41</v>
      </c>
      <c r="C53" s="3">
        <f aca="true" t="shared" si="8" ref="C53:N53">SUM(C9,C14,C22,C30,C36,C41,C47)</f>
        <v>2074.4</v>
      </c>
      <c r="D53" s="3">
        <f t="shared" si="8"/>
        <v>2338.933333333333</v>
      </c>
      <c r="E53" s="3">
        <f t="shared" si="8"/>
        <v>2472.4</v>
      </c>
      <c r="F53" s="3">
        <f t="shared" si="8"/>
        <v>2417.40151351261</v>
      </c>
      <c r="G53" s="3">
        <f t="shared" si="8"/>
        <v>2203</v>
      </c>
      <c r="H53" s="3">
        <f t="shared" si="8"/>
        <v>2420</v>
      </c>
      <c r="I53" s="3">
        <f t="shared" si="8"/>
        <v>3318</v>
      </c>
      <c r="J53" s="3">
        <f t="shared" si="8"/>
        <v>3254</v>
      </c>
      <c r="K53" s="3">
        <f t="shared" si="8"/>
        <v>3022.3</v>
      </c>
      <c r="L53" s="3">
        <f t="shared" si="8"/>
        <v>2976.5999999999995</v>
      </c>
      <c r="M53" s="3">
        <f t="shared" si="8"/>
        <v>2946.133333333333</v>
      </c>
      <c r="N53" s="3">
        <f t="shared" si="8"/>
        <v>2907.066666666667</v>
      </c>
      <c r="O53" s="3"/>
      <c r="P53" s="3"/>
      <c r="Q53" s="3"/>
      <c r="R53" s="3"/>
      <c r="S53" s="3"/>
    </row>
    <row r="54" spans="1:19" ht="12">
      <c r="A54" s="1" t="s">
        <v>42</v>
      </c>
      <c r="C54" s="3">
        <v>2075</v>
      </c>
      <c r="D54" s="3">
        <f>35086/15</f>
        <v>2339.0666666666666</v>
      </c>
      <c r="E54" s="3">
        <f>37086/15</f>
        <v>2472.4</v>
      </c>
      <c r="F54" s="3">
        <f>36240/15</f>
        <v>2416</v>
      </c>
      <c r="G54" s="3">
        <v>2201</v>
      </c>
      <c r="H54" s="3">
        <v>2421</v>
      </c>
      <c r="I54" s="3">
        <v>3318</v>
      </c>
      <c r="J54" s="3">
        <v>3253</v>
      </c>
      <c r="K54" s="3">
        <f>45332/15</f>
        <v>3022.133333333333</v>
      </c>
      <c r="L54" s="3">
        <f>44649/15</f>
        <v>2976.6</v>
      </c>
      <c r="M54" s="3">
        <f>44192/15</f>
        <v>2946.133333333333</v>
      </c>
      <c r="N54" s="3">
        <f>43606/15</f>
        <v>2907.0666666666666</v>
      </c>
      <c r="O54" s="3"/>
      <c r="P54" s="3"/>
      <c r="Q54" s="3"/>
      <c r="R54" s="3"/>
      <c r="S54" s="3"/>
    </row>
    <row r="55" spans="3:19" ht="1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3:19" ht="1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>
      <c r="A57" s="1" t="s">
        <v>43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3:19" ht="1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>
      <c r="A59" s="1" t="s">
        <v>44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>
      <c r="A60" s="1" t="s">
        <v>45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3:19" ht="1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3:19" ht="1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3:19" ht="1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3:19" ht="12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3:19" ht="12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3:19" ht="12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3:19" ht="12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3:19" ht="12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2002-03-17T21:43:34Z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