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90" sheetId="1" r:id="rId1"/>
  </sheets>
  <definedNames>
    <definedName name="\a">'TBL_90'!$IV$8192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<sst xmlns="http://schemas.openxmlformats.org/spreadsheetml/2006/main" count="52" uniqueCount="47">
  <si>
    <t>Table 90--Peanut production, by region and province, China, 1979-90—u1</t>
  </si>
  <si>
    <t>Region/province</t>
  </si>
  <si>
    <t xml:space="preserve">           1,000 tons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</si>
  <si>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</si>
  <si>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</si>
  <si>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</si>
  <si>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</si>
  <si>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</si>
  <si>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</si>
  <si>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</si>
  <si>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</si>
  <si>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</si>
  <si>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</si>
  <si>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</si>
  <si>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</si>
  <si>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</si>
  <si>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</si>
  <si>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</si>
  <si>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</si>
  <si>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</si>
  <si>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</si>
  <si>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</si>
  <si>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</si>
  <si>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</si>
  <si>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</si>
  <si>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</si>
  <si>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</si>
  <si>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</si>
  <si>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</si>
  <si>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</si>
  <si>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</si>
  <si>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</si>
  <si>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</si>
  <si>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</si>
  <si>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</si>
  <si>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</si>
  <si>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</si>
  <si>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</si>
  <si>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</si>
  <si>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</si>
  <si>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</si>
  <si>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</si>
  <si>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</si>
  <si>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Peanut production is calculated on a shelled, dry weight basis.</t>
  </si>
  <si>
    <t xml:space="preserve">    —u2˜ Hainan data available beginning in 1985 -- prior years included in Guangdong.</t>
  </si>
  <si>
    <t xml:space="preserve">    Sources:  (3, p. 33), (4, p. 40), (5, p. 43), (6, p. 91), (7, p. 151), (8, p. 185), (53, p. 159), (33, p. 265), (9, p. 219), (10, p. 236),</t>
  </si>
  <si>
    <t>(34, p. 368) and (35, p. 351).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</si>
</sst>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9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4" spans="1:14" ht="12">
      <c r="A4" s="1" t="s">
        <v>1</v>
      </c>
      <c r="C4" s="2">
        <v>1979</v>
      </c>
      <c r="D4" s="2">
        <v>1980</v>
      </c>
      <c r="E4" s="2">
        <v>1981</v>
      </c>
      <c r="F4" s="2">
        <v>1982</v>
      </c>
      <c r="G4" s="2">
        <v>1983</v>
      </c>
      <c r="H4" s="2">
        <v>1984</v>
      </c>
      <c r="I4" s="2">
        <v>1985</v>
      </c>
      <c r="J4" s="2">
        <v>1986</v>
      </c>
      <c r="K4" s="2">
        <v>1987</v>
      </c>
      <c r="L4" s="2">
        <v>1988</v>
      </c>
      <c r="M4" s="2">
        <v>1989</v>
      </c>
      <c r="N4" s="2">
        <v>1990</v>
      </c>
    </row>
    <row r="7" ht="12">
      <c r="H7" s="1" t="s">
        <v>2</v>
      </c>
    </row>
    <row r="9" spans="1:14" ht="12">
      <c r="A9" s="1" t="s">
        <v>3</v>
      </c>
      <c r="C9" s="3">
        <f aca="true" t="shared" si="0" ref="C9:N9">SUM(C10:C12)</f>
        <v>92.05000000000001</v>
      </c>
      <c r="D9" s="3">
        <f t="shared" si="0"/>
        <v>150.14999999999998</v>
      </c>
      <c r="E9" s="3">
        <f t="shared" si="0"/>
        <v>185.25</v>
      </c>
      <c r="F9" s="3">
        <f t="shared" si="0"/>
        <v>187.4</v>
      </c>
      <c r="G9" s="3">
        <f t="shared" si="0"/>
        <v>238</v>
      </c>
      <c r="H9" s="3">
        <f t="shared" si="0"/>
        <v>339</v>
      </c>
      <c r="I9" s="3">
        <f t="shared" si="0"/>
        <v>420</v>
      </c>
      <c r="J9" s="3">
        <f t="shared" si="0"/>
        <v>233</v>
      </c>
      <c r="K9" s="3">
        <f t="shared" si="0"/>
        <v>136.984</v>
      </c>
      <c r="L9" s="3">
        <f t="shared" si="0"/>
        <v>141.174</v>
      </c>
      <c r="M9" s="3">
        <f t="shared" si="0"/>
        <v>55</v>
      </c>
      <c r="N9" s="3">
        <f t="shared" si="0"/>
        <v>148</v>
      </c>
    </row>
    <row r="10" spans="2:14" ht="12">
      <c r="B10" s="1" t="s">
        <v>4</v>
      </c>
      <c r="C10" s="3">
        <f>1.4*0.5</f>
        <v>0.7</v>
      </c>
      <c r="D10" s="3">
        <f>6*0.5</f>
        <v>3</v>
      </c>
      <c r="E10" s="3">
        <f>11.1*0.5</f>
        <v>5.55</v>
      </c>
      <c r="F10" s="3">
        <f>8.4*0.5</f>
        <v>4.2</v>
      </c>
      <c r="G10" s="3">
        <v>3</v>
      </c>
      <c r="H10" s="3">
        <v>2</v>
      </c>
      <c r="I10" s="3">
        <v>1</v>
      </c>
      <c r="J10" s="3">
        <v>2</v>
      </c>
      <c r="K10" s="3">
        <v>0.755</v>
      </c>
      <c r="L10" s="3">
        <v>0.576</v>
      </c>
      <c r="M10" s="3">
        <v>1</v>
      </c>
      <c r="N10" s="3">
        <v>1</v>
      </c>
    </row>
    <row r="11" spans="2:14" ht="12">
      <c r="B11" s="1" t="s">
        <v>5</v>
      </c>
      <c r="C11" s="3">
        <f>174.9*0.5</f>
        <v>87.45</v>
      </c>
      <c r="D11" s="3">
        <f>274.9*0.5</f>
        <v>137.45</v>
      </c>
      <c r="E11" s="3">
        <f>340.2*0.5</f>
        <v>170.1</v>
      </c>
      <c r="F11" s="3">
        <f>349.1*0.5</f>
        <v>174.55</v>
      </c>
      <c r="G11" s="3">
        <v>227</v>
      </c>
      <c r="H11" s="3">
        <v>327</v>
      </c>
      <c r="I11" s="3">
        <v>403</v>
      </c>
      <c r="J11" s="3">
        <v>222</v>
      </c>
      <c r="K11" s="3">
        <v>130.062</v>
      </c>
      <c r="L11" s="3">
        <v>133.437</v>
      </c>
      <c r="M11" s="3">
        <v>46</v>
      </c>
      <c r="N11" s="3">
        <v>133</v>
      </c>
    </row>
    <row r="12" spans="2:14" ht="12">
      <c r="B12" s="1" t="s">
        <v>6</v>
      </c>
      <c r="C12" s="3">
        <f>7.8*0.5</f>
        <v>3.9</v>
      </c>
      <c r="D12" s="3">
        <f>19.4*0.5</f>
        <v>9.7</v>
      </c>
      <c r="E12" s="3">
        <f>19.2*0.5</f>
        <v>9.6</v>
      </c>
      <c r="F12" s="3">
        <f>17.3*0.5</f>
        <v>8.65</v>
      </c>
      <c r="G12" s="3">
        <v>8</v>
      </c>
      <c r="H12" s="3">
        <v>10</v>
      </c>
      <c r="I12" s="3">
        <v>16</v>
      </c>
      <c r="J12" s="3">
        <v>9</v>
      </c>
      <c r="K12" s="3">
        <v>6.167</v>
      </c>
      <c r="L12" s="3">
        <v>7.161</v>
      </c>
      <c r="M12" s="3">
        <v>8</v>
      </c>
      <c r="N12" s="3">
        <v>14</v>
      </c>
    </row>
    <row r="13" spans="3:14" ht="1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">
      <c r="A14" s="1" t="s">
        <v>7</v>
      </c>
      <c r="C14" s="3">
        <f aca="true" t="shared" si="1" ref="C14:N14">SUM(C15:C20)</f>
        <v>1454.85</v>
      </c>
      <c r="D14" s="3">
        <f t="shared" si="1"/>
        <v>2049.35</v>
      </c>
      <c r="E14" s="3">
        <f t="shared" si="1"/>
        <v>1958.5</v>
      </c>
      <c r="F14" s="3">
        <f t="shared" si="1"/>
        <v>1965.2999999999997</v>
      </c>
      <c r="G14" s="3">
        <f t="shared" si="1"/>
        <v>2097</v>
      </c>
      <c r="H14" s="3">
        <f t="shared" si="1"/>
        <v>2568</v>
      </c>
      <c r="I14" s="3">
        <f t="shared" si="1"/>
        <v>3907</v>
      </c>
      <c r="J14" s="3">
        <f t="shared" si="1"/>
        <v>3151</v>
      </c>
      <c r="K14" s="3">
        <f t="shared" si="1"/>
        <v>3688.138</v>
      </c>
      <c r="L14" s="3">
        <f t="shared" si="1"/>
        <v>3261.9179999999997</v>
      </c>
      <c r="M14" s="3">
        <f t="shared" si="1"/>
        <v>2960</v>
      </c>
      <c r="N14" s="3">
        <f t="shared" si="1"/>
        <v>3844</v>
      </c>
    </row>
    <row r="15" spans="2:14" ht="12">
      <c r="B15" s="1" t="s">
        <v>8</v>
      </c>
      <c r="C15" s="3">
        <f>2120.2*0.5</f>
        <v>1060.1</v>
      </c>
      <c r="D15" s="3">
        <f>2808.6*0.5</f>
        <v>1404.3</v>
      </c>
      <c r="E15" s="3">
        <f>2779*0.5</f>
        <v>1389.5</v>
      </c>
      <c r="F15" s="3">
        <f>2800*0.5</f>
        <v>1400</v>
      </c>
      <c r="G15" s="3">
        <v>1500</v>
      </c>
      <c r="H15" s="3">
        <v>1800</v>
      </c>
      <c r="I15" s="3">
        <v>2621</v>
      </c>
      <c r="J15" s="3">
        <v>2047</v>
      </c>
      <c r="K15" s="3">
        <v>2297.799</v>
      </c>
      <c r="L15" s="3">
        <v>1946.853</v>
      </c>
      <c r="M15" s="3">
        <v>1483</v>
      </c>
      <c r="N15" s="3">
        <v>2107</v>
      </c>
    </row>
    <row r="16" spans="2:14" ht="12">
      <c r="B16" s="1" t="s">
        <v>9</v>
      </c>
      <c r="C16" s="3">
        <f>461.5*0.5</f>
        <v>230.75</v>
      </c>
      <c r="D16" s="3">
        <f>715.4*0.5</f>
        <v>357.7</v>
      </c>
      <c r="E16" s="3">
        <f>702.6*0.5</f>
        <v>351.3</v>
      </c>
      <c r="F16" s="3">
        <f>774.6*0.5</f>
        <v>387.3</v>
      </c>
      <c r="G16" s="3">
        <v>360</v>
      </c>
      <c r="H16" s="3">
        <v>400</v>
      </c>
      <c r="I16" s="3">
        <v>580</v>
      </c>
      <c r="J16" s="3">
        <v>476</v>
      </c>
      <c r="K16" s="3">
        <v>533.795</v>
      </c>
      <c r="L16" s="3">
        <v>460.023</v>
      </c>
      <c r="M16" s="3">
        <v>484</v>
      </c>
      <c r="N16" s="3">
        <v>578</v>
      </c>
    </row>
    <row r="17" spans="2:14" ht="12">
      <c r="B17" s="1" t="s">
        <v>10</v>
      </c>
      <c r="C17" s="3">
        <f>44.1*0.5</f>
        <v>22.05</v>
      </c>
      <c r="D17" s="3">
        <f>52.1*0.5</f>
        <v>26.05</v>
      </c>
      <c r="E17" s="3">
        <f>33.5*0.5</f>
        <v>16.75</v>
      </c>
      <c r="F17" s="3">
        <f>36.7*0.5</f>
        <v>18.35</v>
      </c>
      <c r="G17" s="3">
        <v>18</v>
      </c>
      <c r="H17" s="3">
        <v>23</v>
      </c>
      <c r="I17" s="3">
        <v>34</v>
      </c>
      <c r="J17" s="3">
        <v>27</v>
      </c>
      <c r="K17" s="3">
        <v>29.12</v>
      </c>
      <c r="L17" s="3">
        <v>26.185</v>
      </c>
      <c r="M17" s="3">
        <v>28</v>
      </c>
      <c r="N17" s="3">
        <v>30</v>
      </c>
    </row>
    <row r="18" spans="2:14" ht="12">
      <c r="B18" s="1" t="s">
        <v>11</v>
      </c>
      <c r="C18" s="3">
        <f>13*0.5</f>
        <v>6.5</v>
      </c>
      <c r="D18" s="3">
        <f>17.4*0.5</f>
        <v>8.7</v>
      </c>
      <c r="E18" s="3">
        <f>16.7*0.5</f>
        <v>8.35</v>
      </c>
      <c r="F18" s="3">
        <f>20.2*0.5</f>
        <v>10.1</v>
      </c>
      <c r="G18" s="3">
        <v>7</v>
      </c>
      <c r="H18" s="3">
        <v>10</v>
      </c>
      <c r="I18" s="3">
        <v>19</v>
      </c>
      <c r="J18" s="3">
        <v>22</v>
      </c>
      <c r="K18" s="3">
        <v>22.487</v>
      </c>
      <c r="L18" s="3">
        <v>14.595</v>
      </c>
      <c r="M18" s="3">
        <v>19</v>
      </c>
      <c r="N18" s="3">
        <v>20</v>
      </c>
    </row>
    <row r="19" spans="2:14" ht="12">
      <c r="B19" s="1" t="s">
        <v>12</v>
      </c>
      <c r="C19" s="3">
        <f>267.8*0.5</f>
        <v>133.9</v>
      </c>
      <c r="D19" s="3">
        <f>495.2*0.5</f>
        <v>247.6</v>
      </c>
      <c r="E19" s="3">
        <f>370.3*0.5</f>
        <v>185.15</v>
      </c>
      <c r="F19" s="3">
        <f>278.2*0.5</f>
        <v>139.1</v>
      </c>
      <c r="G19" s="3">
        <v>202</v>
      </c>
      <c r="H19" s="3">
        <v>312</v>
      </c>
      <c r="I19" s="3">
        <v>603</v>
      </c>
      <c r="J19" s="3">
        <v>537</v>
      </c>
      <c r="K19" s="3">
        <v>762.835</v>
      </c>
      <c r="L19" s="3">
        <v>764.428</v>
      </c>
      <c r="M19" s="3">
        <v>894</v>
      </c>
      <c r="N19" s="3">
        <v>1060</v>
      </c>
    </row>
    <row r="20" spans="2:14" ht="12">
      <c r="B20" s="1" t="s">
        <v>13</v>
      </c>
      <c r="C20" s="3">
        <f>3.1*0.5</f>
        <v>1.55</v>
      </c>
      <c r="D20" s="3">
        <f>10*0.5</f>
        <v>5</v>
      </c>
      <c r="E20" s="3">
        <f>14.9*0.5</f>
        <v>7.45</v>
      </c>
      <c r="F20" s="3">
        <f>20.9*0.5</f>
        <v>10.45</v>
      </c>
      <c r="G20" s="3">
        <v>10</v>
      </c>
      <c r="H20" s="3">
        <v>23</v>
      </c>
      <c r="I20" s="3">
        <v>50</v>
      </c>
      <c r="J20" s="3">
        <v>42</v>
      </c>
      <c r="K20" s="3">
        <v>42.102</v>
      </c>
      <c r="L20" s="3">
        <v>49.834</v>
      </c>
      <c r="M20" s="3">
        <v>52</v>
      </c>
      <c r="N20" s="3">
        <v>49</v>
      </c>
    </row>
    <row r="21" spans="3:14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">
      <c r="A22" s="1" t="s">
        <v>14</v>
      </c>
      <c r="C22" s="3">
        <f aca="true" t="shared" si="2" ref="C22:N22">SUM(C23:C28)</f>
        <v>7.6000000000000005</v>
      </c>
      <c r="D22" s="3">
        <f t="shared" si="2"/>
        <v>12.15</v>
      </c>
      <c r="E22" s="3">
        <f t="shared" si="2"/>
        <v>12.3</v>
      </c>
      <c r="F22" s="3">
        <f t="shared" si="2"/>
        <v>19</v>
      </c>
      <c r="G22" s="3">
        <f t="shared" si="2"/>
        <v>21</v>
      </c>
      <c r="H22" s="3">
        <f t="shared" si="2"/>
        <v>47</v>
      </c>
      <c r="I22" s="3">
        <f t="shared" si="2"/>
        <v>102</v>
      </c>
      <c r="J22" s="3">
        <f t="shared" si="2"/>
        <v>77</v>
      </c>
      <c r="K22" s="3">
        <f t="shared" si="2"/>
        <v>79.415</v>
      </c>
      <c r="L22" s="3">
        <f t="shared" si="2"/>
        <v>97.16599999999998</v>
      </c>
      <c r="M22" s="3">
        <f t="shared" si="2"/>
        <v>63</v>
      </c>
      <c r="N22" s="3">
        <f t="shared" si="2"/>
        <v>71</v>
      </c>
    </row>
    <row r="23" spans="2:14" ht="12">
      <c r="B23" s="1" t="s">
        <v>15</v>
      </c>
      <c r="C23" s="3">
        <f>14.3*0.5</f>
        <v>7.15</v>
      </c>
      <c r="D23" s="3">
        <f>23.1*0.5</f>
        <v>11.55</v>
      </c>
      <c r="E23" s="3">
        <f>23*0.5</f>
        <v>11.5</v>
      </c>
      <c r="F23" s="3">
        <f>36.7*0.5</f>
        <v>18.35</v>
      </c>
      <c r="G23" s="3">
        <v>20</v>
      </c>
      <c r="H23" s="3">
        <v>46</v>
      </c>
      <c r="I23" s="3">
        <v>101</v>
      </c>
      <c r="J23" s="3">
        <v>76</v>
      </c>
      <c r="K23" s="3">
        <v>78.435</v>
      </c>
      <c r="L23" s="3">
        <v>96.094</v>
      </c>
      <c r="M23" s="3">
        <v>62</v>
      </c>
      <c r="N23" s="3">
        <v>70</v>
      </c>
    </row>
    <row r="24" spans="2:14" ht="12">
      <c r="B24" s="1" t="s">
        <v>16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0.166</v>
      </c>
      <c r="L24" s="3">
        <v>0.252</v>
      </c>
      <c r="M24" s="3">
        <v>0</v>
      </c>
      <c r="N24" s="3">
        <v>0</v>
      </c>
    </row>
    <row r="25" spans="2:14" ht="12">
      <c r="B25" s="1" t="s">
        <v>17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0.266</v>
      </c>
      <c r="L25" s="3">
        <v>0.229</v>
      </c>
      <c r="M25" s="3">
        <v>0</v>
      </c>
      <c r="N25" s="3">
        <v>0</v>
      </c>
    </row>
    <row r="26" spans="2:14" ht="12">
      <c r="B26" s="1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2:14" ht="12">
      <c r="B27" s="1" t="s">
        <v>19</v>
      </c>
      <c r="C27" s="3">
        <f>0.9*0.5</f>
        <v>0.45</v>
      </c>
      <c r="D27" s="3">
        <f>1.2*0.5</f>
        <v>0.6</v>
      </c>
      <c r="E27" s="3">
        <f>1.6*0.5</f>
        <v>0.8</v>
      </c>
      <c r="F27" s="3">
        <f>1.3*0.5</f>
        <v>0.65</v>
      </c>
      <c r="G27" s="3">
        <v>1</v>
      </c>
      <c r="H27" s="3">
        <v>1</v>
      </c>
      <c r="I27" s="3">
        <v>1</v>
      </c>
      <c r="J27" s="3">
        <v>1</v>
      </c>
      <c r="K27" s="3">
        <v>0.548</v>
      </c>
      <c r="L27" s="3">
        <v>0.591</v>
      </c>
      <c r="M27" s="3">
        <v>1</v>
      </c>
      <c r="N27" s="3">
        <v>1</v>
      </c>
    </row>
    <row r="28" spans="2:14" ht="12">
      <c r="B28" s="1" t="s">
        <v>20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3:14" ht="1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 t="s">
        <v>21</v>
      </c>
      <c r="C30" s="3">
        <f aca="true" t="shared" si="3" ref="C30:N30">SUM(C31:C34)</f>
        <v>258.55</v>
      </c>
      <c r="D30" s="3">
        <f t="shared" si="3"/>
        <v>324.04999999999995</v>
      </c>
      <c r="E30" s="3">
        <f t="shared" si="3"/>
        <v>465.45000000000005</v>
      </c>
      <c r="F30" s="3">
        <f t="shared" si="3"/>
        <v>384.45</v>
      </c>
      <c r="G30" s="3">
        <f t="shared" si="3"/>
        <v>384</v>
      </c>
      <c r="H30" s="3">
        <f t="shared" si="3"/>
        <v>431</v>
      </c>
      <c r="I30" s="3">
        <f t="shared" si="3"/>
        <v>594</v>
      </c>
      <c r="J30" s="3">
        <f t="shared" si="3"/>
        <v>658</v>
      </c>
      <c r="K30" s="3">
        <f t="shared" si="3"/>
        <v>613.144</v>
      </c>
      <c r="L30" s="3">
        <f t="shared" si="3"/>
        <v>655.0719999999999</v>
      </c>
      <c r="M30" s="3">
        <f t="shared" si="3"/>
        <v>597</v>
      </c>
      <c r="N30" s="3">
        <f t="shared" si="3"/>
        <v>577</v>
      </c>
    </row>
    <row r="31" spans="2:14" ht="12">
      <c r="B31" s="1" t="s">
        <v>22</v>
      </c>
      <c r="C31" s="3">
        <f>24.6*0.5</f>
        <v>12.3</v>
      </c>
      <c r="D31" s="3">
        <f>26.6*0.5</f>
        <v>13.3</v>
      </c>
      <c r="E31" s="3">
        <f>25.3*0.5</f>
        <v>12.65</v>
      </c>
      <c r="F31" s="3">
        <f>21.2*0.5</f>
        <v>10.6</v>
      </c>
      <c r="G31" s="3">
        <v>7</v>
      </c>
      <c r="H31" s="3">
        <v>9</v>
      </c>
      <c r="I31" s="3">
        <v>11</v>
      </c>
      <c r="J31" s="3">
        <v>12</v>
      </c>
      <c r="K31" s="3">
        <v>15.204</v>
      </c>
      <c r="L31" s="3">
        <v>13.59</v>
      </c>
      <c r="M31" s="3">
        <v>14</v>
      </c>
      <c r="N31" s="3">
        <v>14</v>
      </c>
    </row>
    <row r="32" spans="2:14" ht="12">
      <c r="B32" s="1" t="s">
        <v>23</v>
      </c>
      <c r="C32" s="3">
        <f>229.4*0.5</f>
        <v>114.7</v>
      </c>
      <c r="D32" s="3">
        <f>245.9*0.5</f>
        <v>122.95</v>
      </c>
      <c r="E32" s="3">
        <f>408.3*0.5</f>
        <v>204.15</v>
      </c>
      <c r="F32" s="3">
        <f>461.2*0.5</f>
        <v>230.6</v>
      </c>
      <c r="G32" s="3">
        <v>222</v>
      </c>
      <c r="H32" s="3">
        <v>242</v>
      </c>
      <c r="I32" s="3">
        <v>341</v>
      </c>
      <c r="J32" s="3">
        <v>365</v>
      </c>
      <c r="K32" s="3">
        <v>337.488</v>
      </c>
      <c r="L32" s="3">
        <v>352.564</v>
      </c>
      <c r="M32" s="3">
        <v>312</v>
      </c>
      <c r="N32" s="3">
        <v>301</v>
      </c>
    </row>
    <row r="33" spans="2:14" ht="12">
      <c r="B33" s="1" t="s">
        <v>24</v>
      </c>
      <c r="C33" s="3">
        <f>0.6*0.5</f>
        <v>0.3</v>
      </c>
      <c r="D33" s="3">
        <f>0.4*0.5</f>
        <v>0.2</v>
      </c>
      <c r="E33" s="3">
        <f>0.5*0.5</f>
        <v>0.25</v>
      </c>
      <c r="F33" s="3">
        <f>0.3*0.5</f>
        <v>0.15</v>
      </c>
      <c r="G33" s="3">
        <v>0</v>
      </c>
      <c r="H33" s="3">
        <v>0</v>
      </c>
      <c r="I33" s="3">
        <v>0</v>
      </c>
      <c r="J33" s="3">
        <v>0</v>
      </c>
      <c r="K33" s="3">
        <v>0.043</v>
      </c>
      <c r="L33" s="3">
        <v>1.037</v>
      </c>
      <c r="M33" s="3">
        <v>1</v>
      </c>
      <c r="N33" s="3">
        <v>0</v>
      </c>
    </row>
    <row r="34" spans="2:14" ht="12">
      <c r="B34" s="1" t="s">
        <v>25</v>
      </c>
      <c r="C34" s="3">
        <f>262.5*0.5</f>
        <v>131.25</v>
      </c>
      <c r="D34" s="3">
        <f>375.2*0.5</f>
        <v>187.6</v>
      </c>
      <c r="E34" s="3">
        <f>496.8*0.5</f>
        <v>248.4</v>
      </c>
      <c r="F34" s="3">
        <f>286.2*0.5</f>
        <v>143.1</v>
      </c>
      <c r="G34" s="3">
        <v>155</v>
      </c>
      <c r="H34" s="3">
        <v>180</v>
      </c>
      <c r="I34" s="3">
        <v>242</v>
      </c>
      <c r="J34" s="3">
        <v>281</v>
      </c>
      <c r="K34" s="3">
        <v>260.409</v>
      </c>
      <c r="L34" s="3">
        <v>287.881</v>
      </c>
      <c r="M34" s="3">
        <v>270</v>
      </c>
      <c r="N34" s="3">
        <v>262</v>
      </c>
    </row>
    <row r="35" spans="3:14" ht="1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">
      <c r="A36" s="1" t="s">
        <v>26</v>
      </c>
      <c r="C36" s="3">
        <f aca="true" t="shared" si="4" ref="C36:N36">SUM(C37:C39)</f>
        <v>170.10000000000002</v>
      </c>
      <c r="D36" s="3">
        <f t="shared" si="4"/>
        <v>152.05</v>
      </c>
      <c r="E36" s="3">
        <f t="shared" si="4"/>
        <v>161.14999999999998</v>
      </c>
      <c r="F36" s="3">
        <f t="shared" si="4"/>
        <v>166.25</v>
      </c>
      <c r="G36" s="3">
        <f t="shared" si="4"/>
        <v>164</v>
      </c>
      <c r="H36" s="3">
        <f t="shared" si="4"/>
        <v>209</v>
      </c>
      <c r="I36" s="3">
        <f t="shared" si="4"/>
        <v>310</v>
      </c>
      <c r="J36" s="3">
        <f t="shared" si="4"/>
        <v>381</v>
      </c>
      <c r="K36" s="3">
        <f t="shared" si="4"/>
        <v>398.25600000000003</v>
      </c>
      <c r="L36" s="3">
        <f t="shared" si="4"/>
        <v>353.28099999999995</v>
      </c>
      <c r="M36" s="3">
        <f t="shared" si="4"/>
        <v>393</v>
      </c>
      <c r="N36" s="3">
        <f t="shared" si="4"/>
        <v>376</v>
      </c>
    </row>
    <row r="37" spans="2:14" ht="12">
      <c r="B37" s="1" t="s">
        <v>27</v>
      </c>
      <c r="C37" s="3">
        <f>132.4*0.5</f>
        <v>66.2</v>
      </c>
      <c r="D37" s="3">
        <f>117*0.5</f>
        <v>58.5</v>
      </c>
      <c r="E37" s="3">
        <f>122.8*0.5</f>
        <v>61.4</v>
      </c>
      <c r="F37" s="3">
        <f>124.9*0.5</f>
        <v>62.45</v>
      </c>
      <c r="G37" s="3">
        <v>61</v>
      </c>
      <c r="H37" s="3">
        <v>88</v>
      </c>
      <c r="I37" s="3">
        <v>135</v>
      </c>
      <c r="J37" s="3">
        <v>152</v>
      </c>
      <c r="K37" s="3">
        <v>146.241</v>
      </c>
      <c r="L37" s="3">
        <v>125.399</v>
      </c>
      <c r="M37" s="3">
        <v>142</v>
      </c>
      <c r="N37" s="3">
        <v>128</v>
      </c>
    </row>
    <row r="38" spans="2:14" ht="12">
      <c r="B38" s="1" t="s">
        <v>28</v>
      </c>
      <c r="C38" s="3">
        <f>86.7*0.5</f>
        <v>43.35</v>
      </c>
      <c r="D38" s="3">
        <f>86.1*0.5</f>
        <v>43.05</v>
      </c>
      <c r="E38" s="3">
        <f>86.1*0.5</f>
        <v>43.05</v>
      </c>
      <c r="F38" s="3">
        <f>81.7*0.5</f>
        <v>40.85</v>
      </c>
      <c r="G38" s="3">
        <v>41</v>
      </c>
      <c r="H38" s="3">
        <v>47</v>
      </c>
      <c r="I38" s="3">
        <v>72</v>
      </c>
      <c r="J38" s="3">
        <v>93</v>
      </c>
      <c r="K38" s="3">
        <v>94.236</v>
      </c>
      <c r="L38" s="3">
        <v>89.823</v>
      </c>
      <c r="M38" s="3">
        <v>100</v>
      </c>
      <c r="N38" s="3">
        <v>96</v>
      </c>
    </row>
    <row r="39" spans="2:14" ht="12">
      <c r="B39" s="1" t="s">
        <v>29</v>
      </c>
      <c r="C39" s="3">
        <f>121.1*0.5</f>
        <v>60.55</v>
      </c>
      <c r="D39" s="3">
        <f>101*0.5</f>
        <v>50.5</v>
      </c>
      <c r="E39" s="3">
        <f>113.4*0.5</f>
        <v>56.7</v>
      </c>
      <c r="F39" s="3">
        <f>125.9*0.5</f>
        <v>62.95</v>
      </c>
      <c r="G39" s="3">
        <v>62</v>
      </c>
      <c r="H39" s="3">
        <v>74</v>
      </c>
      <c r="I39" s="3">
        <v>103</v>
      </c>
      <c r="J39" s="3">
        <v>136</v>
      </c>
      <c r="K39" s="3">
        <v>157.779</v>
      </c>
      <c r="L39" s="3">
        <v>138.059</v>
      </c>
      <c r="M39" s="3">
        <v>151</v>
      </c>
      <c r="N39" s="3">
        <v>152</v>
      </c>
    </row>
    <row r="40" spans="3:14" ht="1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">
      <c r="A41" s="1" t="s">
        <v>30</v>
      </c>
      <c r="C41" s="3">
        <f aca="true" t="shared" si="5" ref="C41:H41">SUM(C42:C44)</f>
        <v>690.5500000000001</v>
      </c>
      <c r="D41" s="3">
        <f t="shared" si="5"/>
        <v>760</v>
      </c>
      <c r="E41" s="3">
        <f t="shared" si="5"/>
        <v>882.55</v>
      </c>
      <c r="F41" s="3">
        <f t="shared" si="5"/>
        <v>987.3</v>
      </c>
      <c r="G41" s="3">
        <f t="shared" si="5"/>
        <v>816</v>
      </c>
      <c r="H41" s="3">
        <f t="shared" si="5"/>
        <v>924</v>
      </c>
      <c r="I41" s="3">
        <f aca="true" t="shared" si="6" ref="I41:N41">SUM(I42:I45)</f>
        <v>989</v>
      </c>
      <c r="J41" s="3">
        <f t="shared" si="6"/>
        <v>1034</v>
      </c>
      <c r="K41" s="3">
        <f t="shared" si="6"/>
        <v>917.934</v>
      </c>
      <c r="L41" s="3">
        <f t="shared" si="6"/>
        <v>858.5609999999999</v>
      </c>
      <c r="M41" s="3">
        <f t="shared" si="6"/>
        <v>965</v>
      </c>
      <c r="N41" s="3">
        <f t="shared" si="6"/>
        <v>1024</v>
      </c>
    </row>
    <row r="42" spans="2:15" ht="12">
      <c r="B42" s="1" t="s">
        <v>31</v>
      </c>
      <c r="C42" s="3">
        <f>857.3*0.5</f>
        <v>428.65</v>
      </c>
      <c r="D42" s="3">
        <f>1039*0.5</f>
        <v>519.5</v>
      </c>
      <c r="E42" s="3">
        <f>1189.5*0.5</f>
        <v>594.75</v>
      </c>
      <c r="F42" s="3">
        <f>1302*0.5</f>
        <v>651</v>
      </c>
      <c r="G42" s="3">
        <v>511</v>
      </c>
      <c r="H42" s="3">
        <v>569</v>
      </c>
      <c r="I42" s="3">
        <f>605-I45</f>
        <v>570.385</v>
      </c>
      <c r="J42" s="3">
        <f>644-J45</f>
        <v>603.3</v>
      </c>
      <c r="K42" s="3">
        <f>576.531-K45</f>
        <v>535.194</v>
      </c>
      <c r="L42" s="3">
        <v>517.983</v>
      </c>
      <c r="M42" s="3">
        <v>554</v>
      </c>
      <c r="N42" s="3">
        <v>579</v>
      </c>
      <c r="O42" s="4"/>
    </row>
    <row r="43" spans="2:15" ht="12">
      <c r="B43" s="1" t="s">
        <v>32</v>
      </c>
      <c r="C43" s="3">
        <f>289.6*0.5</f>
        <v>144.8</v>
      </c>
      <c r="D43" s="3">
        <f>257.5*0.5</f>
        <v>128.75</v>
      </c>
      <c r="E43" s="3">
        <f>261.5*0.5</f>
        <v>130.75</v>
      </c>
      <c r="F43" s="3">
        <f>323.8*0.5</f>
        <v>161.9</v>
      </c>
      <c r="G43" s="3">
        <v>175</v>
      </c>
      <c r="H43" s="3">
        <v>208</v>
      </c>
      <c r="I43" s="3">
        <v>220</v>
      </c>
      <c r="J43" s="3">
        <v>228</v>
      </c>
      <c r="K43" s="3">
        <v>178.167</v>
      </c>
      <c r="L43" s="3">
        <v>166.098</v>
      </c>
      <c r="M43" s="3">
        <v>221</v>
      </c>
      <c r="N43" s="3">
        <v>242</v>
      </c>
      <c r="O43" s="4"/>
    </row>
    <row r="44" spans="2:15" ht="12">
      <c r="B44" s="1" t="s">
        <v>33</v>
      </c>
      <c r="C44" s="3">
        <f>234.2*0.5</f>
        <v>117.1</v>
      </c>
      <c r="D44" s="3">
        <f>223.5*0.5</f>
        <v>111.75</v>
      </c>
      <c r="E44" s="3">
        <f>314.1*0.5</f>
        <v>157.05</v>
      </c>
      <c r="F44" s="3">
        <f>348.8*0.5</f>
        <v>174.4</v>
      </c>
      <c r="G44" s="3">
        <v>130</v>
      </c>
      <c r="H44" s="3">
        <v>147</v>
      </c>
      <c r="I44" s="3">
        <v>164</v>
      </c>
      <c r="J44" s="3">
        <v>162</v>
      </c>
      <c r="K44" s="3">
        <v>163.236</v>
      </c>
      <c r="L44" s="3">
        <v>135.286</v>
      </c>
      <c r="M44" s="3">
        <v>148</v>
      </c>
      <c r="N44" s="3">
        <v>160</v>
      </c>
      <c r="O44" s="4"/>
    </row>
    <row r="45" spans="2:14" ht="12">
      <c r="B45" s="1" t="s">
        <v>34</v>
      </c>
      <c r="C45" s="5" t="s">
        <v>35</v>
      </c>
      <c r="D45" s="5" t="s">
        <v>35</v>
      </c>
      <c r="E45" s="5" t="s">
        <v>35</v>
      </c>
      <c r="F45" s="5" t="s">
        <v>35</v>
      </c>
      <c r="G45" s="5" t="s">
        <v>35</v>
      </c>
      <c r="H45" s="5" t="s">
        <v>35</v>
      </c>
      <c r="I45" s="3">
        <v>34.615</v>
      </c>
      <c r="J45" s="3">
        <v>40.7</v>
      </c>
      <c r="K45" s="3">
        <v>41.337</v>
      </c>
      <c r="L45" s="3">
        <v>39.194</v>
      </c>
      <c r="M45" s="3">
        <v>42</v>
      </c>
      <c r="N45" s="3">
        <v>43</v>
      </c>
    </row>
    <row r="46" spans="3:15" ht="1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</row>
    <row r="47" spans="1:15" ht="12">
      <c r="A47" s="1" t="s">
        <v>36</v>
      </c>
      <c r="C47" s="3">
        <f aca="true" t="shared" si="7" ref="C47:N47">SUM(C48:C51)</f>
        <v>148.65</v>
      </c>
      <c r="D47" s="3">
        <f t="shared" si="7"/>
        <v>152.5</v>
      </c>
      <c r="E47" s="3">
        <f t="shared" si="7"/>
        <v>161.14999999999998</v>
      </c>
      <c r="F47" s="3">
        <f t="shared" si="7"/>
        <v>206.7</v>
      </c>
      <c r="G47" s="3">
        <f t="shared" si="7"/>
        <v>230</v>
      </c>
      <c r="H47" s="3">
        <f t="shared" si="7"/>
        <v>299</v>
      </c>
      <c r="I47" s="3">
        <f t="shared" si="7"/>
        <v>342.1</v>
      </c>
      <c r="J47" s="3">
        <f t="shared" si="7"/>
        <v>349</v>
      </c>
      <c r="K47" s="3">
        <f t="shared" si="7"/>
        <v>336.866</v>
      </c>
      <c r="L47" s="3">
        <f t="shared" si="7"/>
        <v>325.612</v>
      </c>
      <c r="M47" s="3">
        <f t="shared" si="7"/>
        <v>328</v>
      </c>
      <c r="N47" s="3">
        <f t="shared" si="7"/>
        <v>326</v>
      </c>
      <c r="O47" s="4"/>
    </row>
    <row r="48" spans="2:15" ht="12">
      <c r="B48" s="1" t="s">
        <v>37</v>
      </c>
      <c r="C48" s="3">
        <f>235.8*0.5</f>
        <v>117.9</v>
      </c>
      <c r="D48" s="3">
        <f>242.4*0.5</f>
        <v>121.2</v>
      </c>
      <c r="E48" s="3">
        <f>245.1*0.5</f>
        <v>122.55</v>
      </c>
      <c r="F48" s="3">
        <f>325.1*0.5</f>
        <v>162.55</v>
      </c>
      <c r="G48" s="3">
        <v>187</v>
      </c>
      <c r="H48" s="3">
        <v>244</v>
      </c>
      <c r="I48" s="3">
        <v>273</v>
      </c>
      <c r="J48" s="3">
        <v>270</v>
      </c>
      <c r="K48" s="3">
        <v>270.748</v>
      </c>
      <c r="L48" s="3">
        <v>267.027</v>
      </c>
      <c r="M48" s="3">
        <v>270</v>
      </c>
      <c r="N48" s="3">
        <v>269</v>
      </c>
      <c r="O48" s="4"/>
    </row>
    <row r="49" spans="2:15" ht="12">
      <c r="B49" s="1" t="s">
        <v>38</v>
      </c>
      <c r="C49" s="3">
        <f>29*0.5</f>
        <v>14.5</v>
      </c>
      <c r="D49" s="3">
        <f>26.1*0.5</f>
        <v>13.05</v>
      </c>
      <c r="E49" s="3">
        <f>24.8*0.5</f>
        <v>12.4</v>
      </c>
      <c r="F49" s="3">
        <f>28.2*0.5</f>
        <v>14.1</v>
      </c>
      <c r="G49" s="3">
        <v>17</v>
      </c>
      <c r="H49" s="3">
        <v>24</v>
      </c>
      <c r="I49" s="3">
        <v>33</v>
      </c>
      <c r="J49" s="3">
        <v>45</v>
      </c>
      <c r="K49" s="3">
        <v>37.307</v>
      </c>
      <c r="L49" s="3">
        <v>30.901</v>
      </c>
      <c r="M49" s="3">
        <v>29</v>
      </c>
      <c r="N49" s="3">
        <v>28</v>
      </c>
      <c r="O49" s="4"/>
    </row>
    <row r="50" spans="2:15" ht="12">
      <c r="B50" s="1" t="s">
        <v>39</v>
      </c>
      <c r="C50" s="3">
        <f>32.5*0.5</f>
        <v>16.25</v>
      </c>
      <c r="D50" s="3">
        <f>36.5*0.5</f>
        <v>18.25</v>
      </c>
      <c r="E50" s="3">
        <f>52.4*0.5</f>
        <v>26.2</v>
      </c>
      <c r="F50" s="3">
        <f>59.9*0.5</f>
        <v>29.95</v>
      </c>
      <c r="G50" s="3">
        <v>26</v>
      </c>
      <c r="H50" s="3">
        <v>31</v>
      </c>
      <c r="I50" s="3">
        <v>36</v>
      </c>
      <c r="J50" s="3">
        <v>34</v>
      </c>
      <c r="K50" s="3">
        <v>28.787</v>
      </c>
      <c r="L50" s="3">
        <v>27.684</v>
      </c>
      <c r="M50" s="3">
        <v>29</v>
      </c>
      <c r="N50" s="3">
        <v>29</v>
      </c>
      <c r="O50" s="4"/>
    </row>
    <row r="51" spans="2:15" ht="12">
      <c r="B51" s="1" t="s">
        <v>40</v>
      </c>
      <c r="C51" s="3">
        <v>0</v>
      </c>
      <c r="D51" s="3">
        <v>0</v>
      </c>
      <c r="E51" s="3">
        <v>0</v>
      </c>
      <c r="F51" s="3">
        <f>0.2*0.5</f>
        <v>0.1</v>
      </c>
      <c r="G51" s="3">
        <v>0</v>
      </c>
      <c r="H51" s="3">
        <v>0</v>
      </c>
      <c r="I51" s="3">
        <f>0.2*0.5</f>
        <v>0.1</v>
      </c>
      <c r="J51" s="3">
        <v>0</v>
      </c>
      <c r="K51" s="3">
        <v>0.024</v>
      </c>
      <c r="L51" s="3">
        <v>0</v>
      </c>
      <c r="M51" s="3">
        <v>0</v>
      </c>
      <c r="N51" s="3">
        <v>0</v>
      </c>
      <c r="O51" s="4"/>
    </row>
    <row r="52" spans="3:15" ht="1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1:15" ht="12">
      <c r="A53" s="1" t="s">
        <v>41</v>
      </c>
      <c r="C53" s="3">
        <f aca="true" t="shared" si="8" ref="C53:N53">SUM(C9,C14,C22,C30,C36,C41,C47)</f>
        <v>2822.35</v>
      </c>
      <c r="D53" s="3">
        <f t="shared" si="8"/>
        <v>3600.25</v>
      </c>
      <c r="E53" s="3">
        <f t="shared" si="8"/>
        <v>3826.35</v>
      </c>
      <c r="F53" s="3">
        <f t="shared" si="8"/>
        <v>3916.3999999999996</v>
      </c>
      <c r="G53" s="3">
        <f t="shared" si="8"/>
        <v>3950</v>
      </c>
      <c r="H53" s="3">
        <f t="shared" si="8"/>
        <v>4817</v>
      </c>
      <c r="I53" s="3">
        <f t="shared" si="8"/>
        <v>6664.1</v>
      </c>
      <c r="J53" s="3">
        <f t="shared" si="8"/>
        <v>5883</v>
      </c>
      <c r="K53" s="3">
        <f t="shared" si="8"/>
        <v>6170.737</v>
      </c>
      <c r="L53" s="3">
        <f t="shared" si="8"/>
        <v>5692.784</v>
      </c>
      <c r="M53" s="3">
        <f t="shared" si="8"/>
        <v>5361</v>
      </c>
      <c r="N53" s="3">
        <f t="shared" si="8"/>
        <v>6366</v>
      </c>
      <c r="O53" s="4"/>
    </row>
    <row r="54" spans="1:15" ht="12">
      <c r="A54" s="1" t="s">
        <v>42</v>
      </c>
      <c r="C54" s="3">
        <f>5644.7*0.5</f>
        <v>2822.35</v>
      </c>
      <c r="D54" s="3">
        <f>7200.6*0.5</f>
        <v>3600.3</v>
      </c>
      <c r="E54" s="3">
        <f>7652.7*0.5</f>
        <v>3826.35</v>
      </c>
      <c r="F54" s="3">
        <f>7832.8*0.5</f>
        <v>3916.4</v>
      </c>
      <c r="G54" s="3">
        <v>3951</v>
      </c>
      <c r="H54" s="3">
        <v>4815</v>
      </c>
      <c r="I54" s="3">
        <v>6664</v>
      </c>
      <c r="J54" s="3">
        <v>5882</v>
      </c>
      <c r="K54" s="3">
        <v>6171</v>
      </c>
      <c r="L54" s="3">
        <v>5693</v>
      </c>
      <c r="M54" s="3">
        <v>5363</v>
      </c>
      <c r="N54" s="3">
        <v>6368</v>
      </c>
      <c r="O54" s="4"/>
    </row>
    <row r="55" spans="3:14" ht="1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3:14" ht="1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ht="12">
      <c r="A57" s="1" t="s">
        <v>43</v>
      </c>
    </row>
    <row r="58" spans="1:14" ht="12">
      <c r="A58" s="1" t="s">
        <v>44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3:14" ht="1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5" ht="12">
      <c r="A60" s="1" t="s">
        <v>45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</row>
    <row r="61" spans="1:14" ht="12">
      <c r="A61" s="1" t="s">
        <v>46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3:14" ht="1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3:14" ht="1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3:14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3:14" ht="1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3:14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3:14" ht="1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3:14" ht="1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3:14" ht="1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2002-03-17T21:43:18Z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