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TBL_65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<sst xmlns="http://schemas.openxmlformats.org/spreadsheetml/2006/main" count="56" uniqueCount="50">
  <si>
    <t>Table 65--Total grain area, by region and province, China, 1983-90—u1</t>
  </si>
  <si>
    <t>Region/province</t>
  </si>
  <si>
    <t xml:space="preserve">        1,000 hectares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</si>
  <si>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</si>
  <si>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</si>
  <si>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</si>
  <si>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</si>
  <si>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</si>
  <si>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</si>
  <si>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</si>
  <si>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</si>
  <si>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</si>
  <si>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</si>
  <si>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</si>
  <si>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</si>
  <si>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</si>
  <si>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</si>
  <si>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</si>
  <si>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</si>
  <si>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</si>
  <si>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</si>
  <si>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</si>
  <si>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</si>
  <si>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</si>
  <si>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</si>
  <si>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</si>
  <si>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</si>
  <si>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</si>
  <si>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</si>
  <si>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</si>
  <si>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</si>
  <si>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</si>
  <si>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</si>
  <si>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</si>
  <si>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</si>
  <si>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</si>
  <si>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</si>
  <si>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</si>
  <si>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</si>
  <si>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</si>
  <si>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</si>
  <si>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</si>
  <si>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</si>
  <si>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Total grain includes rice, wheat, corn, sorghum, millet, other miscellaneous grain, tubers (potatoes)</t>
  </si>
  <si>
    <t>and soybeans.</t>
  </si>
  <si>
    <t xml:space="preserve">    —u2˜ Hainan data available beginning in 1988 -- prior years included in Guangdong.</t>
  </si>
  <si>
    <t xml:space="preserve">    Sources:  (3, p. 22), (4, p. 34), (5, p. 37), (6, p. 85), (7, p. 146), (8, p. 179), (28, p. 137),</t>
  </si>
  <si>
    <t xml:space="preserve"> </t>
  </si>
  <si>
    <t xml:space="preserve">   </t>
  </si>
  <si>
    <t>(56, pp. 74-118), (34, p. 358) and (35, p. 341).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</si>
</sst>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X68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9" width="8.625" style="0" customWidth="1"/>
    <col min="21" max="21" width="2.625" style="0" customWidth="1"/>
    <col min="22" max="22" width="13.625" style="0" customWidth="1"/>
    <col min="23" max="25" width="8.625" style="0" customWidth="1"/>
    <col min="26" max="26" width="7.625" style="0" customWidth="1"/>
    <col min="27" max="32" width="8.625" style="0" customWidth="1"/>
    <col min="34" max="34" width="2.625" style="0" customWidth="1"/>
    <col min="35" max="35" width="13.625" style="0" customWidth="1"/>
    <col min="36" max="41" width="10.625" style="0" customWidth="1"/>
    <col min="43" max="43" width="2.625" style="0" customWidth="1"/>
    <col min="44" max="44" width="13.625" style="0" customWidth="1"/>
    <col min="45" max="54" width="8.625" style="0" customWidth="1"/>
    <col min="56" max="56" width="2.625" style="0" customWidth="1"/>
    <col min="57" max="57" width="13.625" style="0" customWidth="1"/>
    <col min="58" max="67" width="8.625" style="0" customWidth="1"/>
    <col min="69" max="69" width="2.625" style="0" customWidth="1"/>
    <col min="70" max="70" width="13.625" style="0" customWidth="1"/>
  </cols>
  <sheetData>
    <row r="1" spans="1:13" ht="12">
      <c r="A1" s="1" t="s">
        <v>0</v>
      </c>
      <c r="K1" s="2"/>
      <c r="L1" s="2"/>
      <c r="M1" s="2"/>
    </row>
    <row r="2" spans="11:76" ht="12">
      <c r="K2" s="3"/>
      <c r="L2" s="3"/>
      <c r="M2" s="3"/>
      <c r="N2" s="3"/>
      <c r="O2" s="3"/>
      <c r="P2" s="3"/>
      <c r="Q2" s="3"/>
      <c r="R2" s="2"/>
      <c r="S2" s="2"/>
      <c r="U2" s="3"/>
      <c r="V2" s="3"/>
      <c r="W2" s="3"/>
      <c r="X2" s="3"/>
      <c r="Y2" s="3"/>
      <c r="Z2" s="3"/>
      <c r="AA2" s="3"/>
      <c r="AB2" s="2"/>
      <c r="AC2" s="2"/>
      <c r="AD2" s="3"/>
      <c r="AE2" s="3"/>
      <c r="AF2" s="3"/>
      <c r="AH2" s="3"/>
      <c r="AI2" s="3"/>
      <c r="AJ2" s="3"/>
      <c r="AK2" s="3"/>
      <c r="AL2" s="3"/>
      <c r="AM2" s="3"/>
      <c r="AN2" s="3"/>
      <c r="AO2" s="3"/>
      <c r="AQ2" s="2"/>
      <c r="AR2" s="2"/>
      <c r="AS2" s="2"/>
      <c r="AT2" s="3"/>
      <c r="AU2" s="3"/>
      <c r="AV2" s="3"/>
      <c r="AW2" s="3"/>
      <c r="AX2" s="3"/>
      <c r="AY2" s="3"/>
      <c r="AZ2" s="3"/>
      <c r="BA2" s="3"/>
      <c r="BB2" s="2"/>
      <c r="BD2" s="2"/>
      <c r="BE2" s="2"/>
      <c r="BF2" s="3"/>
      <c r="BG2" s="3"/>
      <c r="BH2" s="3"/>
      <c r="BI2" s="3"/>
      <c r="BJ2" s="3"/>
      <c r="BK2" s="2"/>
      <c r="BL2" s="2"/>
      <c r="BM2" s="2"/>
      <c r="BN2" s="2"/>
      <c r="BO2" s="2"/>
      <c r="BQ2" s="2"/>
      <c r="BR2" s="2"/>
      <c r="BS2" s="2"/>
      <c r="BT2" s="2"/>
      <c r="BU2" s="2"/>
      <c r="BV2" s="2"/>
      <c r="BW2" s="2"/>
      <c r="BX2" s="2"/>
    </row>
    <row r="3" spans="19:69" ht="12">
      <c r="S3" s="3"/>
      <c r="U3" s="2"/>
      <c r="AC3" s="3"/>
      <c r="AH3" s="2"/>
      <c r="AQ3" s="2"/>
      <c r="AS3" s="3"/>
      <c r="BB3" s="3"/>
      <c r="BD3" s="2"/>
      <c r="BN3" s="3"/>
      <c r="BQ3" s="2"/>
    </row>
    <row r="4" spans="1:69" ht="12">
      <c r="A4" s="1" t="s">
        <v>1</v>
      </c>
      <c r="B4" s="2"/>
      <c r="C4" s="4">
        <v>1983</v>
      </c>
      <c r="D4" s="4">
        <v>1984</v>
      </c>
      <c r="E4" s="4">
        <v>1985</v>
      </c>
      <c r="F4" s="4">
        <v>1986</v>
      </c>
      <c r="G4" s="4">
        <v>1987</v>
      </c>
      <c r="H4" s="4">
        <v>1988</v>
      </c>
      <c r="I4" s="4">
        <v>1989</v>
      </c>
      <c r="J4" s="4">
        <v>1990</v>
      </c>
      <c r="K4" s="3"/>
      <c r="R4" s="3"/>
      <c r="S4" s="3"/>
      <c r="U4" s="2"/>
      <c r="W4" s="3"/>
      <c r="AB4" s="3"/>
      <c r="AC4" s="3"/>
      <c r="AD4" s="3"/>
      <c r="AF4" s="3"/>
      <c r="AH4" s="2"/>
      <c r="AQ4" s="2"/>
      <c r="AS4" s="3"/>
      <c r="AT4" s="3"/>
      <c r="BB4" s="3"/>
      <c r="BD4" s="2"/>
      <c r="BF4" s="3"/>
      <c r="BK4" s="3"/>
      <c r="BL4" s="3"/>
      <c r="BM4" s="3"/>
      <c r="BN4" s="3"/>
      <c r="BO4" s="3"/>
      <c r="BQ4" s="2"/>
    </row>
    <row r="6" spans="21:69" ht="12">
      <c r="U6" s="3"/>
      <c r="AH6" s="3"/>
      <c r="AQ6" s="3"/>
      <c r="BD6" s="3"/>
      <c r="BQ6" s="3"/>
    </row>
    <row r="7" spans="6:32" ht="12">
      <c r="F7" s="1" t="s">
        <v>2</v>
      </c>
      <c r="AF7" s="3"/>
    </row>
    <row r="9" spans="1:76" ht="12">
      <c r="A9" s="5" t="s">
        <v>3</v>
      </c>
      <c r="C9" s="6">
        <f aca="true" t="shared" si="0" ref="C9:J9">SUM(C10:C12)</f>
        <v>13993</v>
      </c>
      <c r="D9" s="6">
        <f t="shared" si="0"/>
        <v>13956</v>
      </c>
      <c r="E9" s="6">
        <f t="shared" si="0"/>
        <v>13389</v>
      </c>
      <c r="F9" s="6">
        <f t="shared" si="0"/>
        <v>13831</v>
      </c>
      <c r="G9" s="6">
        <f t="shared" si="0"/>
        <v>14028.466666666667</v>
      </c>
      <c r="H9" s="6">
        <f t="shared" si="0"/>
        <v>13412.733333333334</v>
      </c>
      <c r="I9" s="6">
        <f t="shared" si="0"/>
        <v>13776.133333333333</v>
      </c>
      <c r="J9" s="6">
        <f t="shared" si="0"/>
        <v>14067.466666666667</v>
      </c>
      <c r="K9" s="6"/>
      <c r="L9" s="6"/>
      <c r="M9" s="6"/>
      <c r="N9" s="6"/>
      <c r="O9" s="6"/>
      <c r="P9" s="6"/>
      <c r="Q9" s="6"/>
      <c r="R9" s="6"/>
      <c r="S9" s="6"/>
      <c r="U9" s="2"/>
      <c r="W9" s="3"/>
      <c r="X9" s="3"/>
      <c r="Y9" s="3"/>
      <c r="Z9" s="3"/>
      <c r="AA9" s="3"/>
      <c r="AB9" s="3"/>
      <c r="AC9" s="3"/>
      <c r="AD9" s="3"/>
      <c r="AE9" s="3"/>
      <c r="AF9" s="3"/>
      <c r="AH9" s="2"/>
      <c r="AJ9" s="3"/>
      <c r="AK9" s="3"/>
      <c r="AL9" s="3"/>
      <c r="AM9" s="3"/>
      <c r="AN9" s="3"/>
      <c r="AO9" s="7"/>
      <c r="AQ9" s="2"/>
      <c r="AS9" s="3"/>
      <c r="AT9" s="3"/>
      <c r="AU9" s="3"/>
      <c r="AV9" s="3"/>
      <c r="AW9" s="3"/>
      <c r="AX9" s="3"/>
      <c r="AY9" s="3"/>
      <c r="AZ9" s="3"/>
      <c r="BA9" s="3"/>
      <c r="BB9" s="3"/>
      <c r="BD9" s="2"/>
      <c r="BF9" s="3"/>
      <c r="BG9" s="3"/>
      <c r="BH9" s="3"/>
      <c r="BI9" s="3"/>
      <c r="BJ9" s="3"/>
      <c r="BK9" s="3"/>
      <c r="BL9" s="3"/>
      <c r="BM9" s="3"/>
      <c r="BN9" s="3"/>
      <c r="BO9" s="3"/>
      <c r="BQ9" s="2"/>
      <c r="BS9" s="3"/>
      <c r="BT9" s="3"/>
      <c r="BU9" s="3"/>
      <c r="BV9" s="3"/>
      <c r="BW9" s="3"/>
      <c r="BX9" s="3"/>
    </row>
    <row r="10" spans="2:76" ht="12">
      <c r="B10" s="5" t="s">
        <v>4</v>
      </c>
      <c r="C10" s="8">
        <v>7235</v>
      </c>
      <c r="D10" s="8">
        <v>7355</v>
      </c>
      <c r="E10" s="8">
        <v>7216</v>
      </c>
      <c r="F10" s="8">
        <v>7324</v>
      </c>
      <c r="G10" s="8">
        <f>111179/15</f>
        <v>7411.933333333333</v>
      </c>
      <c r="H10" s="8">
        <f>103301/15</f>
        <v>6886.733333333334</v>
      </c>
      <c r="I10" s="6">
        <v>7261.733333333334</v>
      </c>
      <c r="J10" s="6">
        <v>7420</v>
      </c>
      <c r="K10" s="8"/>
      <c r="L10" s="8"/>
      <c r="M10" s="8"/>
      <c r="N10" s="8"/>
      <c r="O10" s="8"/>
      <c r="P10" s="8"/>
      <c r="Q10" s="8"/>
      <c r="R10" s="8"/>
      <c r="S10" s="8"/>
      <c r="V10" s="2"/>
      <c r="AC10" s="3"/>
      <c r="AD10" s="3"/>
      <c r="AE10" s="3"/>
      <c r="AF10" s="3"/>
      <c r="AI10" s="2"/>
      <c r="AO10" s="7"/>
      <c r="AR10" s="2"/>
      <c r="AS10" s="7"/>
      <c r="AT10" s="7"/>
      <c r="AU10" s="7"/>
      <c r="AV10" s="7"/>
      <c r="AW10" s="7"/>
      <c r="AX10" s="7"/>
      <c r="AY10" s="7"/>
      <c r="AZ10" s="7"/>
      <c r="BA10" s="7"/>
      <c r="BB10" s="7"/>
      <c r="BE10" s="2"/>
      <c r="BF10" s="7"/>
      <c r="BG10" s="7"/>
      <c r="BH10" s="7"/>
      <c r="BI10" s="7"/>
      <c r="BJ10" s="7"/>
      <c r="BK10" s="7"/>
      <c r="BL10" s="3"/>
      <c r="BM10" s="3"/>
      <c r="BN10" s="3"/>
      <c r="BO10" s="7"/>
      <c r="BR10" s="2"/>
      <c r="BV10" s="7"/>
      <c r="BW10" s="7"/>
      <c r="BX10" s="7"/>
    </row>
    <row r="11" spans="2:76" ht="12">
      <c r="B11" s="5" t="s">
        <v>5</v>
      </c>
      <c r="C11" s="8">
        <v>3172</v>
      </c>
      <c r="D11" s="8">
        <v>3099</v>
      </c>
      <c r="E11" s="8">
        <v>2890</v>
      </c>
      <c r="F11" s="8">
        <v>3037</v>
      </c>
      <c r="G11" s="8">
        <f>46962/15</f>
        <v>3130.8</v>
      </c>
      <c r="H11" s="8">
        <f>46496/15</f>
        <v>3099.733333333333</v>
      </c>
      <c r="I11" s="6">
        <v>3083.4666666666667</v>
      </c>
      <c r="J11" s="6">
        <v>3121.6</v>
      </c>
      <c r="K11" s="8"/>
      <c r="L11" s="8"/>
      <c r="M11" s="8"/>
      <c r="N11" s="8"/>
      <c r="O11" s="8"/>
      <c r="P11" s="8"/>
      <c r="Q11" s="8"/>
      <c r="R11" s="8"/>
      <c r="S11" s="8"/>
      <c r="V11" s="2"/>
      <c r="AC11" s="3"/>
      <c r="AD11" s="3"/>
      <c r="AE11" s="3"/>
      <c r="AF11" s="3"/>
      <c r="AI11" s="2"/>
      <c r="AO11" s="7"/>
      <c r="AR11" s="2"/>
      <c r="AS11" s="7"/>
      <c r="AT11" s="7"/>
      <c r="AU11" s="7"/>
      <c r="AV11" s="7"/>
      <c r="AW11" s="7"/>
      <c r="AX11" s="7"/>
      <c r="AY11" s="7"/>
      <c r="AZ11" s="7"/>
      <c r="BA11" s="7"/>
      <c r="BB11" s="7"/>
      <c r="BE11" s="2"/>
      <c r="BF11" s="7"/>
      <c r="BG11" s="7"/>
      <c r="BH11" s="7"/>
      <c r="BI11" s="7"/>
      <c r="BJ11" s="7"/>
      <c r="BK11" s="7"/>
      <c r="BL11" s="3"/>
      <c r="BM11" s="3"/>
      <c r="BN11" s="3"/>
      <c r="BO11" s="7"/>
      <c r="BR11" s="2"/>
      <c r="BV11" s="7"/>
      <c r="BW11" s="7"/>
      <c r="BX11" s="7"/>
    </row>
    <row r="12" spans="2:76" ht="12">
      <c r="B12" s="5" t="s">
        <v>6</v>
      </c>
      <c r="C12" s="8">
        <v>3586</v>
      </c>
      <c r="D12" s="8">
        <v>3502</v>
      </c>
      <c r="E12" s="8">
        <v>3283</v>
      </c>
      <c r="F12" s="8">
        <v>3470</v>
      </c>
      <c r="G12" s="8">
        <f>52286/15</f>
        <v>3485.733333333333</v>
      </c>
      <c r="H12" s="8">
        <f>51394/15</f>
        <v>3426.266666666667</v>
      </c>
      <c r="I12" s="6">
        <v>3430.933333333333</v>
      </c>
      <c r="J12" s="6">
        <v>3525.866666666667</v>
      </c>
      <c r="K12" s="8"/>
      <c r="L12" s="8"/>
      <c r="M12" s="8"/>
      <c r="N12" s="8"/>
      <c r="O12" s="8"/>
      <c r="P12" s="8"/>
      <c r="Q12" s="8"/>
      <c r="R12" s="8"/>
      <c r="S12" s="8"/>
      <c r="V12" s="2"/>
      <c r="AC12" s="3"/>
      <c r="AD12" s="3"/>
      <c r="AE12" s="3"/>
      <c r="AF12" s="3"/>
      <c r="AI12" s="2"/>
      <c r="AO12" s="7"/>
      <c r="AR12" s="2"/>
      <c r="AS12" s="7"/>
      <c r="AT12" s="7"/>
      <c r="AU12" s="7"/>
      <c r="AV12" s="7"/>
      <c r="AW12" s="7"/>
      <c r="AX12" s="7"/>
      <c r="AY12" s="7"/>
      <c r="AZ12" s="7"/>
      <c r="BA12" s="7"/>
      <c r="BB12" s="7"/>
      <c r="BE12" s="2"/>
      <c r="BF12" s="7"/>
      <c r="BG12" s="7"/>
      <c r="BH12" s="7"/>
      <c r="BI12" s="7"/>
      <c r="BJ12" s="7"/>
      <c r="BK12" s="7"/>
      <c r="BL12" s="3"/>
      <c r="BM12" s="3"/>
      <c r="BN12" s="3"/>
      <c r="BO12" s="7"/>
      <c r="BR12" s="2"/>
      <c r="BV12" s="7"/>
      <c r="BW12" s="7"/>
      <c r="BX12" s="7"/>
    </row>
    <row r="13" spans="3:76" ht="12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AO13" s="7"/>
      <c r="BO13" s="7"/>
      <c r="BV13" s="7"/>
      <c r="BW13" s="7"/>
      <c r="BX13" s="7"/>
    </row>
    <row r="14" spans="1:76" ht="12">
      <c r="A14" s="5" t="s">
        <v>7</v>
      </c>
      <c r="C14" s="6">
        <f aca="true" t="shared" si="1" ref="C14:J14">SUM(C15:C20)</f>
        <v>28375</v>
      </c>
      <c r="D14" s="6">
        <f t="shared" si="1"/>
        <v>27825</v>
      </c>
      <c r="E14" s="6">
        <f t="shared" si="1"/>
        <v>27518</v>
      </c>
      <c r="F14" s="6">
        <f t="shared" si="1"/>
        <v>28748</v>
      </c>
      <c r="G14" s="6">
        <f t="shared" si="1"/>
        <v>28452.6</v>
      </c>
      <c r="H14" s="6">
        <f t="shared" si="1"/>
        <v>27879.066666666666</v>
      </c>
      <c r="I14" s="6">
        <f t="shared" si="1"/>
        <v>28311.733333333334</v>
      </c>
      <c r="J14" s="6">
        <f t="shared" si="1"/>
        <v>28528.333333333332</v>
      </c>
      <c r="K14" s="6"/>
      <c r="L14" s="6"/>
      <c r="M14" s="6"/>
      <c r="N14" s="6"/>
      <c r="O14" s="6"/>
      <c r="P14" s="6"/>
      <c r="Q14" s="6"/>
      <c r="R14" s="6"/>
      <c r="S14" s="6"/>
      <c r="U14" s="2"/>
      <c r="W14" s="3"/>
      <c r="X14" s="3"/>
      <c r="Y14" s="3"/>
      <c r="Z14" s="3"/>
      <c r="AA14" s="3"/>
      <c r="AB14" s="3"/>
      <c r="AC14" s="3"/>
      <c r="AD14" s="3"/>
      <c r="AE14" s="3"/>
      <c r="AF14" s="3"/>
      <c r="AH14" s="2"/>
      <c r="AJ14" s="3"/>
      <c r="AK14" s="3"/>
      <c r="AL14" s="3"/>
      <c r="AM14" s="3"/>
      <c r="AN14" s="3"/>
      <c r="AO14" s="7"/>
      <c r="AQ14" s="2"/>
      <c r="AS14" s="3"/>
      <c r="AT14" s="3"/>
      <c r="AU14" s="3"/>
      <c r="AV14" s="3"/>
      <c r="AW14" s="3"/>
      <c r="AX14" s="3"/>
      <c r="AY14" s="3"/>
      <c r="AZ14" s="3"/>
      <c r="BA14" s="3"/>
      <c r="BB14" s="3"/>
      <c r="BD14" s="2"/>
      <c r="BF14" s="3"/>
      <c r="BG14" s="3"/>
      <c r="BH14" s="3"/>
      <c r="BI14" s="3"/>
      <c r="BJ14" s="3"/>
      <c r="BK14" s="3"/>
      <c r="BL14" s="3"/>
      <c r="BM14" s="3"/>
      <c r="BN14" s="3"/>
      <c r="BO14" s="3"/>
      <c r="BQ14" s="2"/>
      <c r="BS14" s="3"/>
      <c r="BT14" s="3"/>
      <c r="BU14" s="3"/>
      <c r="BV14" s="3"/>
      <c r="BW14" s="3"/>
      <c r="BX14" s="3"/>
    </row>
    <row r="15" spans="2:76" ht="12">
      <c r="B15" s="5" t="s">
        <v>8</v>
      </c>
      <c r="C15" s="8">
        <v>7795</v>
      </c>
      <c r="D15" s="8">
        <v>7833</v>
      </c>
      <c r="E15" s="8">
        <v>7984</v>
      </c>
      <c r="F15" s="8">
        <v>8448</v>
      </c>
      <c r="G15" s="8">
        <f>123227/15</f>
        <v>8215.133333333333</v>
      </c>
      <c r="H15" s="8">
        <f>120710/15</f>
        <v>8047.333333333333</v>
      </c>
      <c r="I15" s="6">
        <v>8058.2</v>
      </c>
      <c r="J15" s="6">
        <v>8151.933333333333</v>
      </c>
      <c r="K15" s="8"/>
      <c r="L15" s="8"/>
      <c r="M15" s="8"/>
      <c r="N15" s="8"/>
      <c r="O15" s="8"/>
      <c r="P15" s="8"/>
      <c r="Q15" s="8"/>
      <c r="R15" s="8"/>
      <c r="S15" s="8"/>
      <c r="V15" s="2"/>
      <c r="AC15" s="3"/>
      <c r="AD15" s="3"/>
      <c r="AE15" s="3"/>
      <c r="AF15" s="3"/>
      <c r="AI15" s="2"/>
      <c r="AO15" s="7"/>
      <c r="AR15" s="2"/>
      <c r="AS15" s="7"/>
      <c r="AT15" s="7"/>
      <c r="AU15" s="7"/>
      <c r="AV15" s="7"/>
      <c r="AW15" s="7"/>
      <c r="AX15" s="7"/>
      <c r="AY15" s="7"/>
      <c r="AZ15" s="7"/>
      <c r="BA15" s="7"/>
      <c r="BB15" s="7"/>
      <c r="BE15" s="2"/>
      <c r="BF15" s="7"/>
      <c r="BG15" s="7"/>
      <c r="BH15" s="7"/>
      <c r="BI15" s="7"/>
      <c r="BJ15" s="7"/>
      <c r="BK15" s="7"/>
      <c r="BL15" s="3"/>
      <c r="BM15" s="3"/>
      <c r="BN15" s="3"/>
      <c r="BO15" s="7"/>
      <c r="BR15" s="2"/>
      <c r="BV15" s="7"/>
      <c r="BW15" s="7"/>
      <c r="BX15" s="7"/>
    </row>
    <row r="16" spans="2:76" ht="12">
      <c r="B16" s="5" t="s">
        <v>9</v>
      </c>
      <c r="C16" s="8">
        <v>6903</v>
      </c>
      <c r="D16" s="8">
        <v>6656</v>
      </c>
      <c r="E16" s="8">
        <v>6493</v>
      </c>
      <c r="F16" s="8">
        <v>6827</v>
      </c>
      <c r="G16" s="8">
        <f>100318/15</f>
        <v>6687.866666666667</v>
      </c>
      <c r="H16" s="8">
        <f>99792/15</f>
        <v>6652.8</v>
      </c>
      <c r="I16" s="6">
        <v>6760.466666666667</v>
      </c>
      <c r="J16" s="6">
        <v>6827.8</v>
      </c>
      <c r="K16" s="8"/>
      <c r="L16" s="8"/>
      <c r="M16" s="8"/>
      <c r="N16" s="8"/>
      <c r="O16" s="8"/>
      <c r="P16" s="8"/>
      <c r="Q16" s="8"/>
      <c r="R16" s="8"/>
      <c r="S16" s="8"/>
      <c r="V16" s="2"/>
      <c r="AC16" s="3"/>
      <c r="AD16" s="3"/>
      <c r="AE16" s="3"/>
      <c r="AF16" s="3"/>
      <c r="AI16" s="2"/>
      <c r="AO16" s="7"/>
      <c r="AR16" s="2"/>
      <c r="AS16" s="7"/>
      <c r="AT16" s="7"/>
      <c r="AU16" s="7"/>
      <c r="AV16" s="7"/>
      <c r="AW16" s="7"/>
      <c r="AX16" s="7"/>
      <c r="AY16" s="7"/>
      <c r="AZ16" s="7"/>
      <c r="BA16" s="7"/>
      <c r="BB16" s="7"/>
      <c r="BE16" s="2"/>
      <c r="BF16" s="7"/>
      <c r="BG16" s="7"/>
      <c r="BH16" s="7"/>
      <c r="BI16" s="7"/>
      <c r="BJ16" s="7"/>
      <c r="BK16" s="7"/>
      <c r="BL16" s="3"/>
      <c r="BM16" s="3"/>
      <c r="BN16" s="3"/>
      <c r="BO16" s="7"/>
      <c r="BR16" s="2"/>
      <c r="BV16" s="7"/>
      <c r="BW16" s="7"/>
      <c r="BX16" s="7"/>
    </row>
    <row r="17" spans="2:76" ht="12">
      <c r="B17" s="5" t="s">
        <v>10</v>
      </c>
      <c r="C17" s="8">
        <v>530</v>
      </c>
      <c r="D17" s="8">
        <v>523</v>
      </c>
      <c r="E17" s="8">
        <v>511</v>
      </c>
      <c r="F17" s="8">
        <v>499</v>
      </c>
      <c r="G17" s="8">
        <f>7421/15</f>
        <v>494.73333333333335</v>
      </c>
      <c r="H17" s="8">
        <f>7320/15</f>
        <v>488</v>
      </c>
      <c r="I17" s="6">
        <v>482.6666666666667</v>
      </c>
      <c r="J17" s="6">
        <v>484.4</v>
      </c>
      <c r="K17" s="8"/>
      <c r="L17" s="8"/>
      <c r="M17" s="8"/>
      <c r="N17" s="8"/>
      <c r="O17" s="8"/>
      <c r="P17" s="8"/>
      <c r="Q17" s="8"/>
      <c r="R17" s="8"/>
      <c r="S17" s="8"/>
      <c r="V17" s="2"/>
      <c r="AC17" s="3"/>
      <c r="AD17" s="3"/>
      <c r="AE17" s="3"/>
      <c r="AF17" s="3"/>
      <c r="AI17" s="2"/>
      <c r="AO17" s="7"/>
      <c r="AR17" s="2"/>
      <c r="AS17" s="7"/>
      <c r="AT17" s="7"/>
      <c r="AU17" s="7"/>
      <c r="AV17" s="7"/>
      <c r="AW17" s="7"/>
      <c r="AX17" s="7"/>
      <c r="AY17" s="7"/>
      <c r="AZ17" s="7"/>
      <c r="BA17" s="7"/>
      <c r="BB17" s="7"/>
      <c r="BE17" s="2"/>
      <c r="BF17" s="7"/>
      <c r="BG17" s="7"/>
      <c r="BH17" s="7"/>
      <c r="BI17" s="7"/>
      <c r="BJ17" s="7"/>
      <c r="BK17" s="7"/>
      <c r="BL17" s="3"/>
      <c r="BM17" s="3"/>
      <c r="BN17" s="3"/>
      <c r="BO17" s="7"/>
      <c r="BR17" s="2"/>
      <c r="BV17" s="7"/>
      <c r="BW17" s="7"/>
      <c r="BX17" s="7"/>
    </row>
    <row r="18" spans="2:76" ht="12">
      <c r="B18" s="5" t="s">
        <v>11</v>
      </c>
      <c r="C18" s="8">
        <v>505</v>
      </c>
      <c r="D18" s="8">
        <v>487</v>
      </c>
      <c r="E18" s="8">
        <v>446</v>
      </c>
      <c r="F18" s="8">
        <v>457</v>
      </c>
      <c r="G18" s="8">
        <f>6865/15</f>
        <v>457.6666666666667</v>
      </c>
      <c r="H18" s="8">
        <f>6744/15</f>
        <v>449.6</v>
      </c>
      <c r="I18" s="6">
        <v>454.6666666666667</v>
      </c>
      <c r="J18" s="6">
        <v>457.8666666666666</v>
      </c>
      <c r="K18" s="8"/>
      <c r="L18" s="8"/>
      <c r="M18" s="8"/>
      <c r="N18" s="8"/>
      <c r="O18" s="8"/>
      <c r="P18" s="8"/>
      <c r="Q18" s="8"/>
      <c r="R18" s="8"/>
      <c r="S18" s="8"/>
      <c r="V18" s="2"/>
      <c r="AC18" s="3"/>
      <c r="AD18" s="3"/>
      <c r="AE18" s="3"/>
      <c r="AF18" s="3"/>
      <c r="AI18" s="2"/>
      <c r="AO18" s="7"/>
      <c r="AR18" s="2"/>
      <c r="AS18" s="7"/>
      <c r="AT18" s="7"/>
      <c r="AU18" s="7"/>
      <c r="AV18" s="7"/>
      <c r="AW18" s="7"/>
      <c r="AX18" s="7"/>
      <c r="AY18" s="7"/>
      <c r="AZ18" s="7"/>
      <c r="BA18" s="7"/>
      <c r="BB18" s="7"/>
      <c r="BE18" s="2"/>
      <c r="BF18" s="7"/>
      <c r="BG18" s="7"/>
      <c r="BH18" s="7"/>
      <c r="BI18" s="7"/>
      <c r="BJ18" s="7"/>
      <c r="BK18" s="7"/>
      <c r="BL18" s="3"/>
      <c r="BM18" s="3"/>
      <c r="BN18" s="3"/>
      <c r="BO18" s="7"/>
      <c r="BR18" s="2"/>
      <c r="BV18" s="7"/>
      <c r="BW18" s="7"/>
      <c r="BX18" s="7"/>
    </row>
    <row r="19" spans="2:76" ht="12">
      <c r="B19" s="5" t="s">
        <v>12</v>
      </c>
      <c r="C19" s="8">
        <v>9286</v>
      </c>
      <c r="D19" s="8">
        <v>8997</v>
      </c>
      <c r="E19" s="8">
        <v>9029</v>
      </c>
      <c r="F19" s="8">
        <v>9372</v>
      </c>
      <c r="G19" s="8">
        <f>140478/15</f>
        <v>9365.2</v>
      </c>
      <c r="H19" s="8">
        <f>135584/15</f>
        <v>9038.933333333332</v>
      </c>
      <c r="I19" s="6">
        <v>9262</v>
      </c>
      <c r="J19" s="6">
        <v>9316.066666666668</v>
      </c>
      <c r="K19" s="8"/>
      <c r="L19" s="8"/>
      <c r="M19" s="8"/>
      <c r="N19" s="8"/>
      <c r="O19" s="8"/>
      <c r="P19" s="8"/>
      <c r="Q19" s="8"/>
      <c r="R19" s="8"/>
      <c r="S19" s="8"/>
      <c r="V19" s="2"/>
      <c r="AC19" s="3"/>
      <c r="AD19" s="3"/>
      <c r="AE19" s="3"/>
      <c r="AF19" s="3"/>
      <c r="AI19" s="2"/>
      <c r="AO19" s="7"/>
      <c r="AR19" s="2"/>
      <c r="AS19" s="7"/>
      <c r="AT19" s="7"/>
      <c r="AU19" s="7"/>
      <c r="AV19" s="7"/>
      <c r="AW19" s="7"/>
      <c r="AX19" s="7"/>
      <c r="AY19" s="7"/>
      <c r="AZ19" s="7"/>
      <c r="BA19" s="7"/>
      <c r="BB19" s="7"/>
      <c r="BE19" s="2"/>
      <c r="BF19" s="7"/>
      <c r="BG19" s="7"/>
      <c r="BH19" s="7"/>
      <c r="BI19" s="7"/>
      <c r="BJ19" s="7"/>
      <c r="BK19" s="7"/>
      <c r="BL19" s="3"/>
      <c r="BM19" s="3"/>
      <c r="BN19" s="3"/>
      <c r="BO19" s="7"/>
      <c r="BR19" s="2"/>
      <c r="BV19" s="7"/>
      <c r="BW19" s="7"/>
      <c r="BX19" s="7"/>
    </row>
    <row r="20" spans="2:76" ht="12">
      <c r="B20" s="5" t="s">
        <v>13</v>
      </c>
      <c r="C20" s="8">
        <v>3356</v>
      </c>
      <c r="D20" s="8">
        <v>3329</v>
      </c>
      <c r="E20" s="8">
        <v>3055</v>
      </c>
      <c r="F20" s="8">
        <v>3145</v>
      </c>
      <c r="G20" s="8">
        <f>48480/15</f>
        <v>3232</v>
      </c>
      <c r="H20" s="8">
        <f>48036/15</f>
        <v>3202.4</v>
      </c>
      <c r="I20" s="6">
        <v>3293.7333333333336</v>
      </c>
      <c r="J20" s="6">
        <v>3290.2666666666664</v>
      </c>
      <c r="K20" s="8"/>
      <c r="L20" s="8"/>
      <c r="M20" s="8"/>
      <c r="N20" s="8"/>
      <c r="O20" s="8"/>
      <c r="P20" s="8"/>
      <c r="Q20" s="8"/>
      <c r="R20" s="8"/>
      <c r="S20" s="8"/>
      <c r="V20" s="2"/>
      <c r="AC20" s="3"/>
      <c r="AD20" s="3"/>
      <c r="AE20" s="3"/>
      <c r="AF20" s="3"/>
      <c r="AI20" s="2"/>
      <c r="AO20" s="7"/>
      <c r="AR20" s="2"/>
      <c r="AS20" s="7"/>
      <c r="AT20" s="7"/>
      <c r="AU20" s="7"/>
      <c r="AV20" s="7"/>
      <c r="AW20" s="7"/>
      <c r="AX20" s="7"/>
      <c r="AY20" s="7"/>
      <c r="AZ20" s="7"/>
      <c r="BA20" s="7"/>
      <c r="BB20" s="7"/>
      <c r="BE20" s="2"/>
      <c r="BF20" s="7"/>
      <c r="BG20" s="7"/>
      <c r="BH20" s="7"/>
      <c r="BI20" s="7"/>
      <c r="BJ20" s="7"/>
      <c r="BK20" s="7"/>
      <c r="BL20" s="3"/>
      <c r="BM20" s="3"/>
      <c r="BN20" s="3"/>
      <c r="BO20" s="7"/>
      <c r="BR20" s="2"/>
      <c r="BV20" s="7"/>
      <c r="BW20" s="7"/>
      <c r="BX20" s="7"/>
    </row>
    <row r="21" spans="3:76" ht="12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AO21" s="7"/>
      <c r="BO21" s="7"/>
      <c r="BV21" s="7"/>
      <c r="BW21" s="7"/>
      <c r="BX21" s="7"/>
    </row>
    <row r="22" spans="1:76" ht="12">
      <c r="A22" s="5" t="s">
        <v>14</v>
      </c>
      <c r="C22" s="6">
        <f aca="true" t="shared" si="2" ref="C22:J22">SUM(C23:C28)</f>
        <v>13847</v>
      </c>
      <c r="D22" s="6">
        <f t="shared" si="2"/>
        <v>13672</v>
      </c>
      <c r="E22" s="6">
        <f t="shared" si="2"/>
        <v>13062</v>
      </c>
      <c r="F22" s="6">
        <f t="shared" si="2"/>
        <v>13181</v>
      </c>
      <c r="G22" s="6">
        <f t="shared" si="2"/>
        <v>13340.400000000001</v>
      </c>
      <c r="H22" s="6">
        <f t="shared" si="2"/>
        <v>13377.6</v>
      </c>
      <c r="I22" s="6">
        <f t="shared" si="2"/>
        <v>13592.533333333335</v>
      </c>
      <c r="J22" s="6">
        <f t="shared" si="2"/>
        <v>13843.666666666666</v>
      </c>
      <c r="K22" s="6"/>
      <c r="L22" s="6"/>
      <c r="M22" s="6"/>
      <c r="N22" s="6"/>
      <c r="O22" s="6"/>
      <c r="P22" s="6"/>
      <c r="Q22" s="6"/>
      <c r="R22" s="6"/>
      <c r="S22" s="6"/>
      <c r="U22" s="2"/>
      <c r="W22" s="3"/>
      <c r="X22" s="3"/>
      <c r="Y22" s="3"/>
      <c r="Z22" s="3"/>
      <c r="AA22" s="3"/>
      <c r="AB22" s="3"/>
      <c r="AC22" s="3"/>
      <c r="AD22" s="3"/>
      <c r="AE22" s="3"/>
      <c r="AF22" s="3"/>
      <c r="AH22" s="2"/>
      <c r="AJ22" s="3"/>
      <c r="AK22" s="3"/>
      <c r="AL22" s="3"/>
      <c r="AM22" s="3"/>
      <c r="AN22" s="3"/>
      <c r="AO22" s="7"/>
      <c r="AQ22" s="2"/>
      <c r="AS22" s="3"/>
      <c r="AT22" s="3"/>
      <c r="AU22" s="3"/>
      <c r="AV22" s="3"/>
      <c r="AW22" s="3"/>
      <c r="AX22" s="3"/>
      <c r="AY22" s="3"/>
      <c r="AZ22" s="3"/>
      <c r="BA22" s="3"/>
      <c r="BB22" s="3"/>
      <c r="BD22" s="2"/>
      <c r="BF22" s="3"/>
      <c r="BG22" s="3"/>
      <c r="BH22" s="3"/>
      <c r="BI22" s="3"/>
      <c r="BJ22" s="3"/>
      <c r="BK22" s="3"/>
      <c r="BL22" s="3"/>
      <c r="BM22" s="3"/>
      <c r="BN22" s="3"/>
      <c r="BO22" s="3"/>
      <c r="BQ22" s="2"/>
      <c r="BS22" s="3"/>
      <c r="BT22" s="3"/>
      <c r="BU22" s="3"/>
      <c r="BV22" s="3"/>
      <c r="BW22" s="3"/>
      <c r="BX22" s="3"/>
    </row>
    <row r="23" spans="2:76" ht="12">
      <c r="B23" s="5" t="s">
        <v>15</v>
      </c>
      <c r="C23" s="8">
        <v>4049</v>
      </c>
      <c r="D23" s="8">
        <v>4013</v>
      </c>
      <c r="E23" s="8">
        <v>3966</v>
      </c>
      <c r="F23" s="8">
        <v>3978</v>
      </c>
      <c r="G23" s="8">
        <f>61623/15</f>
        <v>4108.2</v>
      </c>
      <c r="H23" s="8">
        <f>60515/15</f>
        <v>4034.3333333333335</v>
      </c>
      <c r="I23" s="6">
        <v>4106.2</v>
      </c>
      <c r="J23" s="6">
        <v>4134.666666666667</v>
      </c>
      <c r="K23" s="8"/>
      <c r="L23" s="8"/>
      <c r="M23" s="8"/>
      <c r="N23" s="8"/>
      <c r="O23" s="8"/>
      <c r="P23" s="8"/>
      <c r="Q23" s="8"/>
      <c r="R23" s="8"/>
      <c r="S23" s="8"/>
      <c r="V23" s="2"/>
      <c r="AC23" s="3"/>
      <c r="AD23" s="3"/>
      <c r="AE23" s="3"/>
      <c r="AF23" s="3"/>
      <c r="AI23" s="2"/>
      <c r="AO23" s="7"/>
      <c r="AR23" s="2"/>
      <c r="AS23" s="7"/>
      <c r="AT23" s="7"/>
      <c r="AU23" s="7"/>
      <c r="AV23" s="7"/>
      <c r="AW23" s="7"/>
      <c r="AX23" s="7"/>
      <c r="AY23" s="7"/>
      <c r="AZ23" s="7"/>
      <c r="BA23" s="7"/>
      <c r="BB23" s="7"/>
      <c r="BE23" s="2"/>
      <c r="BF23" s="7"/>
      <c r="BG23" s="7"/>
      <c r="BH23" s="7"/>
      <c r="BI23" s="7"/>
      <c r="BJ23" s="7"/>
      <c r="BK23" s="7"/>
      <c r="BL23" s="3"/>
      <c r="BM23" s="3"/>
      <c r="BN23" s="3"/>
      <c r="BO23" s="7"/>
      <c r="BR23" s="2"/>
      <c r="BV23" s="7"/>
      <c r="BW23" s="7"/>
      <c r="BX23" s="7"/>
    </row>
    <row r="24" spans="2:76" ht="12">
      <c r="B24" s="5" t="s">
        <v>16</v>
      </c>
      <c r="C24" s="8">
        <v>2874</v>
      </c>
      <c r="D24" s="8">
        <v>2817</v>
      </c>
      <c r="E24" s="8">
        <v>2775</v>
      </c>
      <c r="F24" s="8">
        <v>2765</v>
      </c>
      <c r="G24" s="8">
        <f>42308/15</f>
        <v>2820.5333333333333</v>
      </c>
      <c r="H24" s="8">
        <f>42955/15</f>
        <v>2863.6666666666665</v>
      </c>
      <c r="I24" s="6">
        <v>2824.8</v>
      </c>
      <c r="J24" s="6">
        <v>2875.133333333333</v>
      </c>
      <c r="K24" s="8"/>
      <c r="L24" s="8"/>
      <c r="M24" s="8"/>
      <c r="N24" s="8"/>
      <c r="O24" s="8"/>
      <c r="P24" s="8"/>
      <c r="Q24" s="8"/>
      <c r="R24" s="8"/>
      <c r="S24" s="8"/>
      <c r="V24" s="2"/>
      <c r="AC24" s="3"/>
      <c r="AD24" s="3"/>
      <c r="AE24" s="3"/>
      <c r="AF24" s="3"/>
      <c r="AI24" s="2"/>
      <c r="AO24" s="7"/>
      <c r="AR24" s="2"/>
      <c r="AS24" s="7"/>
      <c r="AT24" s="7"/>
      <c r="AU24" s="7"/>
      <c r="AV24" s="7"/>
      <c r="AW24" s="7"/>
      <c r="AX24" s="7"/>
      <c r="AY24" s="7"/>
      <c r="AZ24" s="7"/>
      <c r="BA24" s="7"/>
      <c r="BB24" s="7"/>
      <c r="BE24" s="2"/>
      <c r="BF24" s="7"/>
      <c r="BG24" s="7"/>
      <c r="BH24" s="7"/>
      <c r="BI24" s="7"/>
      <c r="BJ24" s="7"/>
      <c r="BK24" s="7"/>
      <c r="BL24" s="3"/>
      <c r="BM24" s="3"/>
      <c r="BN24" s="3"/>
      <c r="BO24" s="7"/>
      <c r="BR24" s="2"/>
      <c r="BV24" s="7"/>
      <c r="BW24" s="7"/>
      <c r="BX24" s="7"/>
    </row>
    <row r="25" spans="2:76" ht="12">
      <c r="B25" s="5" t="s">
        <v>17</v>
      </c>
      <c r="C25" s="8">
        <v>3837</v>
      </c>
      <c r="D25" s="8">
        <v>3762</v>
      </c>
      <c r="E25" s="8">
        <v>3422</v>
      </c>
      <c r="F25" s="8">
        <v>3581</v>
      </c>
      <c r="G25" s="8">
        <f>53347/15</f>
        <v>3556.4666666666667</v>
      </c>
      <c r="H25" s="8">
        <f>54197/15</f>
        <v>3613.133333333333</v>
      </c>
      <c r="I25" s="6">
        <v>3721.066666666667</v>
      </c>
      <c r="J25" s="6">
        <v>3874.4666666666667</v>
      </c>
      <c r="K25" s="8"/>
      <c r="L25" s="8"/>
      <c r="M25" s="8"/>
      <c r="N25" s="8"/>
      <c r="O25" s="8"/>
      <c r="P25" s="8"/>
      <c r="Q25" s="8"/>
      <c r="R25" s="8"/>
      <c r="S25" s="8"/>
      <c r="V25" s="2"/>
      <c r="AC25" s="3"/>
      <c r="AD25" s="3"/>
      <c r="AE25" s="3"/>
      <c r="AF25" s="3"/>
      <c r="AI25" s="2"/>
      <c r="AO25" s="7"/>
      <c r="AR25" s="2"/>
      <c r="AS25" s="7"/>
      <c r="AT25" s="7"/>
      <c r="AU25" s="7"/>
      <c r="AV25" s="7"/>
      <c r="AW25" s="7"/>
      <c r="AX25" s="7"/>
      <c r="AY25" s="7"/>
      <c r="AZ25" s="7"/>
      <c r="BA25" s="7"/>
      <c r="BB25" s="7"/>
      <c r="BE25" s="2"/>
      <c r="BF25" s="7"/>
      <c r="BG25" s="7"/>
      <c r="BH25" s="7"/>
      <c r="BI25" s="7"/>
      <c r="BJ25" s="7"/>
      <c r="BK25" s="7"/>
      <c r="BL25" s="3"/>
      <c r="BM25" s="3"/>
      <c r="BN25" s="3"/>
      <c r="BO25" s="7"/>
      <c r="BR25" s="2"/>
      <c r="BV25" s="7"/>
      <c r="BW25" s="7"/>
      <c r="BX25" s="7"/>
    </row>
    <row r="26" spans="2:76" ht="12">
      <c r="B26" s="5" t="s">
        <v>18</v>
      </c>
      <c r="C26" s="8">
        <v>695</v>
      </c>
      <c r="D26" s="8">
        <v>681</v>
      </c>
      <c r="E26" s="8">
        <v>650</v>
      </c>
      <c r="F26" s="8">
        <v>660</v>
      </c>
      <c r="G26" s="8">
        <f>10238/15</f>
        <v>682.5333333333333</v>
      </c>
      <c r="H26" s="8">
        <f>10479/15</f>
        <v>698.6</v>
      </c>
      <c r="I26" s="6">
        <v>705.7333333333332</v>
      </c>
      <c r="J26" s="6">
        <v>723.5333333333333</v>
      </c>
      <c r="K26" s="8"/>
      <c r="L26" s="8"/>
      <c r="M26" s="8"/>
      <c r="N26" s="8"/>
      <c r="O26" s="8"/>
      <c r="P26" s="8"/>
      <c r="Q26" s="8"/>
      <c r="R26" s="8"/>
      <c r="S26" s="8"/>
      <c r="V26" s="2"/>
      <c r="AC26" s="3"/>
      <c r="AD26" s="3"/>
      <c r="AE26" s="3"/>
      <c r="AF26" s="3"/>
      <c r="AI26" s="2"/>
      <c r="AO26" s="7"/>
      <c r="AR26" s="2"/>
      <c r="AS26" s="7"/>
      <c r="AT26" s="7"/>
      <c r="AU26" s="7"/>
      <c r="AV26" s="7"/>
      <c r="AW26" s="7"/>
      <c r="AX26" s="7"/>
      <c r="AY26" s="7"/>
      <c r="AZ26" s="7"/>
      <c r="BA26" s="7"/>
      <c r="BB26" s="7"/>
      <c r="BE26" s="2"/>
      <c r="BF26" s="7"/>
      <c r="BG26" s="7"/>
      <c r="BH26" s="7"/>
      <c r="BI26" s="7"/>
      <c r="BJ26" s="7"/>
      <c r="BK26" s="7"/>
      <c r="BL26" s="3"/>
      <c r="BM26" s="3"/>
      <c r="BN26" s="3"/>
      <c r="BO26" s="7"/>
      <c r="BR26" s="2"/>
      <c r="BV26" s="7"/>
      <c r="BW26" s="7"/>
      <c r="BX26" s="7"/>
    </row>
    <row r="27" spans="2:76" ht="12">
      <c r="B27" s="5" t="s">
        <v>19</v>
      </c>
      <c r="C27" s="8">
        <v>1988</v>
      </c>
      <c r="D27" s="8">
        <v>1993</v>
      </c>
      <c r="E27" s="8">
        <v>1862</v>
      </c>
      <c r="F27" s="8">
        <v>1810</v>
      </c>
      <c r="G27" s="8">
        <f>26823/15</f>
        <v>1788.2</v>
      </c>
      <c r="H27" s="8">
        <f>26744/15</f>
        <v>1782.9333333333334</v>
      </c>
      <c r="I27" s="6">
        <v>1839.5333333333335</v>
      </c>
      <c r="J27" s="6">
        <v>1835.5333333333335</v>
      </c>
      <c r="K27" s="8"/>
      <c r="L27" s="8"/>
      <c r="M27" s="8"/>
      <c r="N27" s="8"/>
      <c r="O27" s="8"/>
      <c r="P27" s="8"/>
      <c r="Q27" s="8"/>
      <c r="R27" s="8"/>
      <c r="S27" s="8"/>
      <c r="V27" s="2"/>
      <c r="AC27" s="3"/>
      <c r="AD27" s="3"/>
      <c r="AE27" s="3"/>
      <c r="AF27" s="3"/>
      <c r="AI27" s="2"/>
      <c r="AO27" s="7"/>
      <c r="AR27" s="2"/>
      <c r="AS27" s="7"/>
      <c r="AT27" s="7"/>
      <c r="AU27" s="7"/>
      <c r="AV27" s="7"/>
      <c r="AW27" s="7"/>
      <c r="AX27" s="7"/>
      <c r="AY27" s="7"/>
      <c r="AZ27" s="7"/>
      <c r="BA27" s="7"/>
      <c r="BB27" s="7"/>
      <c r="BE27" s="2"/>
      <c r="BF27" s="7"/>
      <c r="BG27" s="7"/>
      <c r="BH27" s="7"/>
      <c r="BI27" s="7"/>
      <c r="BJ27" s="7"/>
      <c r="BK27" s="7"/>
      <c r="BL27" s="3"/>
      <c r="BM27" s="3"/>
      <c r="BN27" s="3"/>
      <c r="BO27" s="7"/>
      <c r="BR27" s="2"/>
      <c r="BV27" s="7"/>
      <c r="BW27" s="7"/>
      <c r="BX27" s="7"/>
    </row>
    <row r="28" spans="2:76" ht="12">
      <c r="B28" s="5" t="s">
        <v>20</v>
      </c>
      <c r="C28" s="8">
        <v>404</v>
      </c>
      <c r="D28" s="8">
        <v>406</v>
      </c>
      <c r="E28" s="8">
        <v>387</v>
      </c>
      <c r="F28" s="8">
        <v>387</v>
      </c>
      <c r="G28" s="8">
        <f>5767/15</f>
        <v>384.46666666666664</v>
      </c>
      <c r="H28" s="8">
        <f>5774/15</f>
        <v>384.93333333333334</v>
      </c>
      <c r="I28" s="6">
        <v>395.2</v>
      </c>
      <c r="J28" s="6">
        <v>400.3333333333333</v>
      </c>
      <c r="K28" s="8"/>
      <c r="L28" s="8"/>
      <c r="M28" s="8"/>
      <c r="N28" s="8"/>
      <c r="O28" s="8"/>
      <c r="P28" s="8"/>
      <c r="Q28" s="8"/>
      <c r="R28" s="8"/>
      <c r="S28" s="8"/>
      <c r="V28" s="2"/>
      <c r="AC28" s="3"/>
      <c r="AD28" s="3"/>
      <c r="AE28" s="3"/>
      <c r="AF28" s="3"/>
      <c r="AI28" s="2"/>
      <c r="AO28" s="7"/>
      <c r="AR28" s="2"/>
      <c r="AS28" s="7"/>
      <c r="AT28" s="7"/>
      <c r="AU28" s="7"/>
      <c r="AV28" s="7"/>
      <c r="AW28" s="7"/>
      <c r="AX28" s="7"/>
      <c r="AY28" s="7"/>
      <c r="AZ28" s="7"/>
      <c r="BA28" s="7"/>
      <c r="BB28" s="7"/>
      <c r="BE28" s="2"/>
      <c r="BF28" s="7"/>
      <c r="BG28" s="7"/>
      <c r="BH28" s="7"/>
      <c r="BI28" s="7"/>
      <c r="BJ28" s="7"/>
      <c r="BK28" s="7"/>
      <c r="BL28" s="3"/>
      <c r="BM28" s="3"/>
      <c r="BN28" s="3"/>
      <c r="BO28" s="7"/>
      <c r="BR28" s="2"/>
      <c r="BV28" s="7"/>
      <c r="BW28" s="7"/>
      <c r="BX28" s="7"/>
    </row>
    <row r="29" spans="3:76" ht="1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AO29" s="7"/>
      <c r="BO29" s="7"/>
      <c r="BV29" s="7"/>
      <c r="BW29" s="7"/>
      <c r="BX29" s="7"/>
    </row>
    <row r="30" spans="1:76" ht="12">
      <c r="A30" s="5" t="s">
        <v>21</v>
      </c>
      <c r="C30" s="6">
        <f aca="true" t="shared" si="3" ref="C30:J30">SUM(C31:C34)</f>
        <v>16513</v>
      </c>
      <c r="D30" s="6">
        <f t="shared" si="3"/>
        <v>16728</v>
      </c>
      <c r="E30" s="6">
        <f t="shared" si="3"/>
        <v>16040</v>
      </c>
      <c r="F30" s="6">
        <f t="shared" si="3"/>
        <v>16159</v>
      </c>
      <c r="G30" s="6">
        <f t="shared" si="3"/>
        <v>16311.866666666667</v>
      </c>
      <c r="H30" s="6">
        <f t="shared" si="3"/>
        <v>16134.066666666666</v>
      </c>
      <c r="I30" s="6">
        <f t="shared" si="3"/>
        <v>16297.933333333334</v>
      </c>
      <c r="J30" s="6">
        <f t="shared" si="3"/>
        <v>16292.2</v>
      </c>
      <c r="K30" s="6"/>
      <c r="L30" s="6"/>
      <c r="M30" s="6"/>
      <c r="N30" s="6"/>
      <c r="O30" s="6"/>
      <c r="P30" s="6"/>
      <c r="Q30" s="6"/>
      <c r="R30" s="6"/>
      <c r="S30" s="6"/>
      <c r="U30" s="2"/>
      <c r="W30" s="3"/>
      <c r="X30" s="3"/>
      <c r="Y30" s="3"/>
      <c r="Z30" s="3"/>
      <c r="AA30" s="3"/>
      <c r="AB30" s="3"/>
      <c r="AC30" s="3"/>
      <c r="AD30" s="3"/>
      <c r="AE30" s="3"/>
      <c r="AF30" s="3"/>
      <c r="AH30" s="2"/>
      <c r="AJ30" s="3"/>
      <c r="AK30" s="3"/>
      <c r="AL30" s="3"/>
      <c r="AM30" s="3"/>
      <c r="AN30" s="3"/>
      <c r="AO30" s="7"/>
      <c r="AQ30" s="2"/>
      <c r="AS30" s="3"/>
      <c r="AT30" s="3"/>
      <c r="AU30" s="3"/>
      <c r="AV30" s="3"/>
      <c r="AW30" s="3"/>
      <c r="AX30" s="3"/>
      <c r="AY30" s="3"/>
      <c r="AZ30" s="3"/>
      <c r="BA30" s="3"/>
      <c r="BB30" s="3"/>
      <c r="BD30" s="2"/>
      <c r="BF30" s="3"/>
      <c r="BG30" s="3"/>
      <c r="BH30" s="3"/>
      <c r="BI30" s="3"/>
      <c r="BJ30" s="3"/>
      <c r="BK30" s="3"/>
      <c r="BL30" s="3"/>
      <c r="BM30" s="3"/>
      <c r="BN30" s="3"/>
      <c r="BO30" s="3"/>
      <c r="BQ30" s="2"/>
      <c r="BS30" s="3"/>
      <c r="BT30" s="3"/>
      <c r="BU30" s="3"/>
      <c r="BV30" s="3"/>
      <c r="BW30" s="3"/>
      <c r="BX30" s="3"/>
    </row>
    <row r="31" spans="2:76" ht="12">
      <c r="B31" s="5" t="s">
        <v>22</v>
      </c>
      <c r="C31" s="8">
        <v>3480</v>
      </c>
      <c r="D31" s="8">
        <v>3483</v>
      </c>
      <c r="E31" s="8">
        <v>3271</v>
      </c>
      <c r="F31" s="8">
        <v>3166</v>
      </c>
      <c r="G31" s="8">
        <f>48531/15</f>
        <v>3235.4</v>
      </c>
      <c r="H31" s="8">
        <f>48058/15</f>
        <v>3203.866666666667</v>
      </c>
      <c r="I31" s="6">
        <v>3222.7333333333336</v>
      </c>
      <c r="J31" s="6">
        <v>3266</v>
      </c>
      <c r="K31" s="8"/>
      <c r="L31" s="8"/>
      <c r="M31" s="8"/>
      <c r="N31" s="8"/>
      <c r="O31" s="8"/>
      <c r="P31" s="8"/>
      <c r="Q31" s="8"/>
      <c r="R31" s="8"/>
      <c r="S31" s="8"/>
      <c r="V31" s="2"/>
      <c r="AC31" s="3"/>
      <c r="AD31" s="3"/>
      <c r="AE31" s="3"/>
      <c r="AF31" s="3"/>
      <c r="AI31" s="2"/>
      <c r="AO31" s="7"/>
      <c r="AR31" s="2"/>
      <c r="AS31" s="7"/>
      <c r="AT31" s="7"/>
      <c r="AU31" s="7"/>
      <c r="AV31" s="7"/>
      <c r="AW31" s="7"/>
      <c r="AX31" s="7"/>
      <c r="AY31" s="7"/>
      <c r="AZ31" s="7"/>
      <c r="BA31" s="7"/>
      <c r="BB31" s="7"/>
      <c r="BE31" s="2"/>
      <c r="BF31" s="7"/>
      <c r="BG31" s="7"/>
      <c r="BH31" s="7"/>
      <c r="BI31" s="7"/>
      <c r="BJ31" s="7"/>
      <c r="BK31" s="7"/>
      <c r="BL31" s="3"/>
      <c r="BM31" s="3"/>
      <c r="BN31" s="3"/>
      <c r="BO31" s="7"/>
      <c r="BR31" s="2"/>
      <c r="BV31" s="7"/>
      <c r="BW31" s="7"/>
      <c r="BX31" s="7"/>
    </row>
    <row r="32" spans="2:76" ht="12">
      <c r="B32" s="5" t="s">
        <v>23</v>
      </c>
      <c r="C32" s="8">
        <v>6469</v>
      </c>
      <c r="D32" s="8">
        <v>6567</v>
      </c>
      <c r="E32" s="8">
        <v>6432</v>
      </c>
      <c r="F32" s="8">
        <v>6494</v>
      </c>
      <c r="G32" s="8">
        <f>97250/15</f>
        <v>6483.333333333333</v>
      </c>
      <c r="H32" s="8">
        <f>95872/15</f>
        <v>6391.466666666666</v>
      </c>
      <c r="I32" s="6">
        <v>6454.533333333333</v>
      </c>
      <c r="J32" s="6">
        <v>6363</v>
      </c>
      <c r="K32" s="8"/>
      <c r="L32" s="8"/>
      <c r="M32" s="8"/>
      <c r="N32" s="8"/>
      <c r="O32" s="8"/>
      <c r="P32" s="8"/>
      <c r="Q32" s="8"/>
      <c r="R32" s="8"/>
      <c r="S32" s="8"/>
      <c r="V32" s="2"/>
      <c r="AC32" s="3"/>
      <c r="AD32" s="3"/>
      <c r="AE32" s="3"/>
      <c r="AF32" s="3"/>
      <c r="AI32" s="2"/>
      <c r="AO32" s="7"/>
      <c r="AR32" s="2"/>
      <c r="AS32" s="7"/>
      <c r="AT32" s="7"/>
      <c r="AU32" s="7"/>
      <c r="AV32" s="7"/>
      <c r="AW32" s="7"/>
      <c r="AX32" s="7"/>
      <c r="AY32" s="7"/>
      <c r="AZ32" s="7"/>
      <c r="BA32" s="7"/>
      <c r="BB32" s="7"/>
      <c r="BE32" s="2"/>
      <c r="BF32" s="7"/>
      <c r="BG32" s="7"/>
      <c r="BH32" s="7"/>
      <c r="BI32" s="7"/>
      <c r="BJ32" s="7"/>
      <c r="BK32" s="7"/>
      <c r="BL32" s="3"/>
      <c r="BM32" s="3"/>
      <c r="BN32" s="3"/>
      <c r="BO32" s="7"/>
      <c r="BR32" s="2"/>
      <c r="BV32" s="7"/>
      <c r="BW32" s="7"/>
      <c r="BX32" s="7"/>
    </row>
    <row r="33" spans="2:76" ht="12">
      <c r="B33" s="5" t="s">
        <v>24</v>
      </c>
      <c r="C33" s="8">
        <v>478</v>
      </c>
      <c r="D33" s="8">
        <v>486</v>
      </c>
      <c r="E33" s="8">
        <v>438</v>
      </c>
      <c r="F33" s="8">
        <v>447</v>
      </c>
      <c r="G33" s="8">
        <f>6632/15</f>
        <v>442.1333333333333</v>
      </c>
      <c r="H33" s="8">
        <f>6394/15</f>
        <v>426.26666666666665</v>
      </c>
      <c r="I33" s="6">
        <v>416.8666666666666</v>
      </c>
      <c r="J33" s="6">
        <v>417.1333333333334</v>
      </c>
      <c r="K33" s="8"/>
      <c r="L33" s="8"/>
      <c r="M33" s="8"/>
      <c r="N33" s="8"/>
      <c r="O33" s="8"/>
      <c r="P33" s="8"/>
      <c r="Q33" s="8"/>
      <c r="R33" s="8"/>
      <c r="S33" s="8"/>
      <c r="V33" s="2"/>
      <c r="AC33" s="3"/>
      <c r="AD33" s="3"/>
      <c r="AE33" s="3"/>
      <c r="AF33" s="3"/>
      <c r="AI33" s="2"/>
      <c r="AO33" s="7"/>
      <c r="AR33" s="2"/>
      <c r="AS33" s="7"/>
      <c r="AT33" s="7"/>
      <c r="AU33" s="7"/>
      <c r="AV33" s="7"/>
      <c r="AW33" s="7"/>
      <c r="AX33" s="7"/>
      <c r="AY33" s="7"/>
      <c r="AZ33" s="7"/>
      <c r="BA33" s="7"/>
      <c r="BB33" s="7"/>
      <c r="BE33" s="2"/>
      <c r="BF33" s="7"/>
      <c r="BG33" s="7"/>
      <c r="BH33" s="7"/>
      <c r="BI33" s="7"/>
      <c r="BJ33" s="7"/>
      <c r="BK33" s="7"/>
      <c r="BL33" s="3"/>
      <c r="BM33" s="3"/>
      <c r="BN33" s="3"/>
      <c r="BO33" s="7"/>
      <c r="BR33" s="2"/>
      <c r="BV33" s="7"/>
      <c r="BW33" s="7"/>
      <c r="BX33" s="7"/>
    </row>
    <row r="34" spans="2:76" ht="12">
      <c r="B34" s="5" t="s">
        <v>25</v>
      </c>
      <c r="C34" s="8">
        <v>6086</v>
      </c>
      <c r="D34" s="8">
        <v>6192</v>
      </c>
      <c r="E34" s="8">
        <v>5899</v>
      </c>
      <c r="F34" s="8">
        <v>6052</v>
      </c>
      <c r="G34" s="8">
        <f>92265/15</f>
        <v>6151</v>
      </c>
      <c r="H34" s="8">
        <f>91687/15</f>
        <v>6112.466666666666</v>
      </c>
      <c r="I34" s="6">
        <v>6203.8</v>
      </c>
      <c r="J34" s="6">
        <v>6246.066666666667</v>
      </c>
      <c r="K34" s="8"/>
      <c r="L34" s="8"/>
      <c r="M34" s="8"/>
      <c r="N34" s="8"/>
      <c r="O34" s="8"/>
      <c r="P34" s="8"/>
      <c r="Q34" s="8"/>
      <c r="R34" s="8"/>
      <c r="S34" s="8"/>
      <c r="V34" s="2"/>
      <c r="AC34" s="3"/>
      <c r="AD34" s="3"/>
      <c r="AE34" s="3"/>
      <c r="AF34" s="3"/>
      <c r="AI34" s="2"/>
      <c r="AO34" s="7"/>
      <c r="AR34" s="2"/>
      <c r="AS34" s="7"/>
      <c r="AT34" s="7"/>
      <c r="AU34" s="7"/>
      <c r="AV34" s="7"/>
      <c r="AW34" s="7"/>
      <c r="AX34" s="7"/>
      <c r="AY34" s="7"/>
      <c r="AZ34" s="7"/>
      <c r="BA34" s="7"/>
      <c r="BB34" s="7"/>
      <c r="BE34" s="2"/>
      <c r="BF34" s="7"/>
      <c r="BG34" s="7"/>
      <c r="BH34" s="7"/>
      <c r="BI34" s="7"/>
      <c r="BJ34" s="7"/>
      <c r="BK34" s="7"/>
      <c r="BL34" s="3"/>
      <c r="BM34" s="3"/>
      <c r="BN34" s="3"/>
      <c r="BO34" s="7"/>
      <c r="BR34" s="2"/>
      <c r="BV34" s="7"/>
      <c r="BW34" s="7"/>
      <c r="BX34" s="7"/>
    </row>
    <row r="35" spans="3:76" ht="1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AO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F35" s="7"/>
      <c r="BG35" s="7"/>
      <c r="BH35" s="7"/>
      <c r="BI35" s="7"/>
      <c r="BJ35" s="7"/>
      <c r="BK35" s="7"/>
      <c r="BO35" s="7"/>
      <c r="BV35" s="7"/>
      <c r="BW35" s="7"/>
      <c r="BX35" s="7"/>
    </row>
    <row r="36" spans="1:76" ht="12">
      <c r="A36" s="5" t="s">
        <v>26</v>
      </c>
      <c r="C36" s="6">
        <f aca="true" t="shared" si="4" ref="C36:J36">SUM(C37:C39)</f>
        <v>14430</v>
      </c>
      <c r="D36" s="6">
        <f t="shared" si="4"/>
        <v>14399</v>
      </c>
      <c r="E36" s="6">
        <f t="shared" si="4"/>
        <v>13920</v>
      </c>
      <c r="F36" s="6">
        <f t="shared" si="4"/>
        <v>13932.4</v>
      </c>
      <c r="G36" s="6">
        <f t="shared" si="4"/>
        <v>14122.266666666666</v>
      </c>
      <c r="H36" s="6">
        <f t="shared" si="4"/>
        <v>13862.333333333334</v>
      </c>
      <c r="I36" s="6">
        <f t="shared" si="4"/>
        <v>14213.266666666666</v>
      </c>
      <c r="J36" s="6">
        <f t="shared" si="4"/>
        <v>14264.933333333334</v>
      </c>
      <c r="K36" s="6"/>
      <c r="L36" s="6"/>
      <c r="M36" s="6"/>
      <c r="N36" s="6"/>
      <c r="O36" s="6"/>
      <c r="P36" s="6"/>
      <c r="Q36" s="6"/>
      <c r="R36" s="6"/>
      <c r="S36" s="6"/>
      <c r="U36" s="2"/>
      <c r="W36" s="3"/>
      <c r="X36" s="3"/>
      <c r="Y36" s="3"/>
      <c r="Z36" s="3"/>
      <c r="AA36" s="3"/>
      <c r="AB36" s="3"/>
      <c r="AC36" s="3"/>
      <c r="AD36" s="3"/>
      <c r="AE36" s="3"/>
      <c r="AF36" s="3"/>
      <c r="AH36" s="2"/>
      <c r="AJ36" s="3"/>
      <c r="AK36" s="3"/>
      <c r="AL36" s="3"/>
      <c r="AM36" s="3"/>
      <c r="AN36" s="3"/>
      <c r="AO36" s="7"/>
      <c r="AQ36" s="2"/>
      <c r="AS36" s="3"/>
      <c r="AT36" s="3"/>
      <c r="AU36" s="3"/>
      <c r="AV36" s="3"/>
      <c r="AW36" s="3"/>
      <c r="AX36" s="3"/>
      <c r="AY36" s="3"/>
      <c r="AZ36" s="3"/>
      <c r="BA36" s="3"/>
      <c r="BB36" s="3"/>
      <c r="BD36" s="2"/>
      <c r="BF36" s="3"/>
      <c r="BG36" s="3"/>
      <c r="BH36" s="3"/>
      <c r="BI36" s="3"/>
      <c r="BJ36" s="3"/>
      <c r="BK36" s="3"/>
      <c r="BL36" s="3"/>
      <c r="BM36" s="3"/>
      <c r="BN36" s="3"/>
      <c r="BO36" s="3"/>
      <c r="BQ36" s="2"/>
      <c r="BS36" s="3"/>
      <c r="BT36" s="3"/>
      <c r="BU36" s="3"/>
      <c r="BV36" s="3"/>
      <c r="BW36" s="3"/>
      <c r="BX36" s="3"/>
    </row>
    <row r="37" spans="2:76" ht="12">
      <c r="B37" s="5" t="s">
        <v>27</v>
      </c>
      <c r="C37" s="8">
        <v>5293</v>
      </c>
      <c r="D37" s="8">
        <v>5294</v>
      </c>
      <c r="E37" s="8">
        <v>5108</v>
      </c>
      <c r="F37" s="8">
        <v>5092</v>
      </c>
      <c r="G37" s="8">
        <f>77152/15</f>
        <v>5143.466666666666</v>
      </c>
      <c r="H37" s="8">
        <f>76140/15</f>
        <v>5076</v>
      </c>
      <c r="I37" s="6">
        <v>5188.933333333333</v>
      </c>
      <c r="J37" s="6">
        <v>5200</v>
      </c>
      <c r="K37" s="8"/>
      <c r="L37" s="8"/>
      <c r="M37" s="8"/>
      <c r="N37" s="8"/>
      <c r="O37" s="8"/>
      <c r="P37" s="8"/>
      <c r="Q37" s="8"/>
      <c r="R37" s="8"/>
      <c r="S37" s="8"/>
      <c r="V37" s="2"/>
      <c r="AC37" s="3"/>
      <c r="AD37" s="3"/>
      <c r="AE37" s="3"/>
      <c r="AF37" s="3"/>
      <c r="AI37" s="2"/>
      <c r="AO37" s="7"/>
      <c r="AR37" s="2"/>
      <c r="AS37" s="7"/>
      <c r="AT37" s="7"/>
      <c r="AU37" s="7"/>
      <c r="AV37" s="7"/>
      <c r="AW37" s="7"/>
      <c r="AX37" s="7"/>
      <c r="AY37" s="7"/>
      <c r="AZ37" s="7"/>
      <c r="BA37" s="7"/>
      <c r="BB37" s="7"/>
      <c r="BE37" s="2"/>
      <c r="BF37" s="7"/>
      <c r="BG37" s="7"/>
      <c r="BH37" s="7"/>
      <c r="BI37" s="7"/>
      <c r="BJ37" s="7"/>
      <c r="BK37" s="7"/>
      <c r="BL37" s="3"/>
      <c r="BM37" s="3"/>
      <c r="BN37" s="3"/>
      <c r="BO37" s="7"/>
      <c r="BR37" s="2"/>
      <c r="BV37" s="7"/>
      <c r="BW37" s="7"/>
      <c r="BX37" s="7"/>
    </row>
    <row r="38" spans="2:76" ht="12">
      <c r="B38" s="5" t="s">
        <v>28</v>
      </c>
      <c r="C38" s="8">
        <v>5423</v>
      </c>
      <c r="D38" s="8">
        <v>5391</v>
      </c>
      <c r="E38" s="8">
        <v>5161</v>
      </c>
      <c r="F38" s="8">
        <f>78156/15</f>
        <v>5210.4</v>
      </c>
      <c r="G38" s="8">
        <f>77264/15</f>
        <v>5150.933333333333</v>
      </c>
      <c r="H38" s="8">
        <v>5210</v>
      </c>
      <c r="I38" s="6">
        <v>5330.466666666666</v>
      </c>
      <c r="J38" s="6">
        <v>5365.666666666667</v>
      </c>
      <c r="K38" s="8"/>
      <c r="L38" s="8"/>
      <c r="M38" s="8"/>
      <c r="N38" s="8"/>
      <c r="O38" s="8"/>
      <c r="P38" s="8"/>
      <c r="Q38" s="8"/>
      <c r="R38" s="8"/>
      <c r="S38" s="8"/>
      <c r="V38" s="2"/>
      <c r="AC38" s="3"/>
      <c r="AD38" s="3"/>
      <c r="AE38" s="3"/>
      <c r="AF38" s="3"/>
      <c r="AI38" s="2"/>
      <c r="AO38" s="7"/>
      <c r="AR38" s="2"/>
      <c r="AS38" s="7"/>
      <c r="AT38" s="7"/>
      <c r="AU38" s="7"/>
      <c r="AV38" s="7"/>
      <c r="AW38" s="7"/>
      <c r="AX38" s="7"/>
      <c r="AY38" s="7"/>
      <c r="AZ38" s="7"/>
      <c r="BA38" s="7"/>
      <c r="BB38" s="7"/>
      <c r="BE38" s="2"/>
      <c r="BF38" s="7"/>
      <c r="BG38" s="7"/>
      <c r="BH38" s="7"/>
      <c r="BI38" s="7"/>
      <c r="BJ38" s="7"/>
      <c r="BK38" s="7"/>
      <c r="BL38" s="3"/>
      <c r="BM38" s="3"/>
      <c r="BN38" s="3"/>
      <c r="BO38" s="7"/>
      <c r="BR38" s="2"/>
      <c r="BV38" s="7"/>
      <c r="BW38" s="7"/>
      <c r="BX38" s="7"/>
    </row>
    <row r="39" spans="2:76" ht="12">
      <c r="B39" s="5" t="s">
        <v>29</v>
      </c>
      <c r="C39" s="8">
        <v>3714</v>
      </c>
      <c r="D39" s="8">
        <v>3714</v>
      </c>
      <c r="E39" s="8">
        <v>3651</v>
      </c>
      <c r="F39" s="8">
        <v>3630</v>
      </c>
      <c r="G39" s="8">
        <f>57418/15</f>
        <v>3827.866666666667</v>
      </c>
      <c r="H39" s="8">
        <f>53645/15</f>
        <v>3576.3333333333335</v>
      </c>
      <c r="I39" s="6">
        <v>3693.866666666667</v>
      </c>
      <c r="J39" s="6">
        <v>3699.2666666666664</v>
      </c>
      <c r="K39" s="8"/>
      <c r="L39" s="8"/>
      <c r="M39" s="8"/>
      <c r="N39" s="8"/>
      <c r="O39" s="8"/>
      <c r="P39" s="8"/>
      <c r="Q39" s="8"/>
      <c r="R39" s="8"/>
      <c r="S39" s="8"/>
      <c r="V39" s="2"/>
      <c r="AC39" s="3"/>
      <c r="AD39" s="3"/>
      <c r="AE39" s="3"/>
      <c r="AF39" s="3"/>
      <c r="AI39" s="2"/>
      <c r="AO39" s="7"/>
      <c r="AR39" s="2"/>
      <c r="AS39" s="7"/>
      <c r="AT39" s="7"/>
      <c r="AU39" s="7"/>
      <c r="AV39" s="7"/>
      <c r="AW39" s="7"/>
      <c r="AX39" s="7"/>
      <c r="AY39" s="7"/>
      <c r="AZ39" s="7"/>
      <c r="BA39" s="7"/>
      <c r="BB39" s="7"/>
      <c r="BE39" s="2"/>
      <c r="BF39" s="7"/>
      <c r="BG39" s="7"/>
      <c r="BH39" s="7"/>
      <c r="BI39" s="7"/>
      <c r="BJ39" s="7"/>
      <c r="BK39" s="7"/>
      <c r="BL39" s="3"/>
      <c r="BM39" s="3"/>
      <c r="BN39" s="3"/>
      <c r="BO39" s="7"/>
      <c r="BR39" s="2"/>
      <c r="BV39" s="7"/>
      <c r="BW39" s="7"/>
      <c r="BX39" s="7"/>
    </row>
    <row r="40" spans="3:76" ht="12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AO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F40" s="7"/>
      <c r="BG40" s="7"/>
      <c r="BH40" s="7"/>
      <c r="BI40" s="7"/>
      <c r="BJ40" s="7"/>
      <c r="BK40" s="7"/>
      <c r="BO40" s="7"/>
      <c r="BV40" s="7"/>
      <c r="BW40" s="7"/>
      <c r="BX40" s="7"/>
    </row>
    <row r="41" spans="1:76" ht="12">
      <c r="A41" s="5" t="s">
        <v>30</v>
      </c>
      <c r="C41" s="6">
        <f>SUM(C42:C44)</f>
        <v>10923</v>
      </c>
      <c r="D41" s="6">
        <f>SUM(D42:D44)</f>
        <v>10555</v>
      </c>
      <c r="E41" s="6">
        <f>SUM(E42:E44)</f>
        <v>9800</v>
      </c>
      <c r="F41" s="6">
        <f>SUM(F42:F44)</f>
        <v>9892</v>
      </c>
      <c r="G41" s="6">
        <f>SUM(G42:G44)</f>
        <v>9920.266666666666</v>
      </c>
      <c r="H41" s="6">
        <f>SUM(H42:H45)</f>
        <v>10301.533333333333</v>
      </c>
      <c r="I41" s="6">
        <f>SUM(I42:I45)</f>
        <v>10156.533333333335</v>
      </c>
      <c r="J41" s="6">
        <f>SUM(J42:J45)</f>
        <v>10284.333333333334</v>
      </c>
      <c r="K41" s="6"/>
      <c r="L41" s="6"/>
      <c r="M41" s="6"/>
      <c r="N41" s="6"/>
      <c r="O41" s="6"/>
      <c r="P41" s="6"/>
      <c r="Q41" s="6"/>
      <c r="R41" s="6"/>
      <c r="S41" s="6"/>
      <c r="U41" s="2"/>
      <c r="W41" s="3"/>
      <c r="X41" s="3"/>
      <c r="Y41" s="3"/>
      <c r="Z41" s="3"/>
      <c r="AA41" s="3"/>
      <c r="AB41" s="3"/>
      <c r="AC41" s="3"/>
      <c r="AD41" s="3"/>
      <c r="AE41" s="3"/>
      <c r="AF41" s="3"/>
      <c r="AH41" s="2"/>
      <c r="AJ41" s="3"/>
      <c r="AK41" s="3"/>
      <c r="AL41" s="3"/>
      <c r="AM41" s="3"/>
      <c r="AN41" s="3"/>
      <c r="AO41" s="7"/>
      <c r="AQ41" s="2"/>
      <c r="AS41" s="3"/>
      <c r="AT41" s="3"/>
      <c r="AU41" s="3"/>
      <c r="AV41" s="3"/>
      <c r="AW41" s="3"/>
      <c r="AX41" s="3"/>
      <c r="AY41" s="3"/>
      <c r="AZ41" s="3"/>
      <c r="BA41" s="3"/>
      <c r="BB41" s="3"/>
      <c r="BD41" s="2"/>
      <c r="BF41" s="3"/>
      <c r="BG41" s="3"/>
      <c r="BH41" s="3"/>
      <c r="BI41" s="3"/>
      <c r="BJ41" s="3"/>
      <c r="BK41" s="3"/>
      <c r="BL41" s="3"/>
      <c r="BM41" s="3"/>
      <c r="BN41" s="3"/>
      <c r="BO41" s="3"/>
      <c r="BQ41" s="2"/>
      <c r="BS41" s="3"/>
      <c r="BT41" s="3"/>
      <c r="BU41" s="3"/>
      <c r="BV41" s="3"/>
      <c r="BW41" s="3"/>
      <c r="BX41" s="3"/>
    </row>
    <row r="42" spans="2:76" ht="12">
      <c r="B42" s="5" t="s">
        <v>31</v>
      </c>
      <c r="C42" s="8">
        <v>5005</v>
      </c>
      <c r="D42" s="8">
        <v>4848</v>
      </c>
      <c r="E42" s="8">
        <v>4465</v>
      </c>
      <c r="F42" s="8">
        <v>4463</v>
      </c>
      <c r="G42" s="8">
        <f>66289/15</f>
        <v>4419.266666666666</v>
      </c>
      <c r="H42" s="8">
        <f>65478/15</f>
        <v>4365.2</v>
      </c>
      <c r="I42" s="6">
        <v>3967.2</v>
      </c>
      <c r="J42" s="6">
        <v>3996.3333333333335</v>
      </c>
      <c r="K42" s="8"/>
      <c r="L42" s="8"/>
      <c r="M42" s="8"/>
      <c r="N42" s="8"/>
      <c r="O42" s="8"/>
      <c r="P42" s="8"/>
      <c r="Q42" s="8"/>
      <c r="R42" s="8"/>
      <c r="S42" s="8"/>
      <c r="V42" s="2"/>
      <c r="AC42" s="3"/>
      <c r="AD42" s="3"/>
      <c r="AE42" s="3"/>
      <c r="AF42" s="3"/>
      <c r="AI42" s="2"/>
      <c r="AO42" s="7"/>
      <c r="AR42" s="2"/>
      <c r="AS42" s="7"/>
      <c r="AT42" s="7"/>
      <c r="AU42" s="7"/>
      <c r="AV42" s="7"/>
      <c r="AW42" s="7"/>
      <c r="AX42" s="7"/>
      <c r="AY42" s="7"/>
      <c r="AZ42" s="7"/>
      <c r="BA42" s="7"/>
      <c r="BB42" s="7"/>
      <c r="BE42" s="2"/>
      <c r="BF42" s="7"/>
      <c r="BG42" s="7"/>
      <c r="BH42" s="7"/>
      <c r="BI42" s="7"/>
      <c r="BJ42" s="7"/>
      <c r="BK42" s="7"/>
      <c r="BL42" s="3"/>
      <c r="BM42" s="3"/>
      <c r="BN42" s="3"/>
      <c r="BO42" s="7"/>
      <c r="BR42" s="2"/>
      <c r="BV42" s="7"/>
      <c r="BW42" s="7"/>
      <c r="BX42" s="7"/>
    </row>
    <row r="43" spans="2:76" ht="12">
      <c r="B43" s="5" t="s">
        <v>32</v>
      </c>
      <c r="C43" s="8">
        <v>3834</v>
      </c>
      <c r="D43" s="8">
        <v>3690</v>
      </c>
      <c r="E43" s="8">
        <v>3447</v>
      </c>
      <c r="F43" s="8">
        <v>3531</v>
      </c>
      <c r="G43" s="8">
        <f>53092/15</f>
        <v>3539.4666666666667</v>
      </c>
      <c r="H43" s="8">
        <f>52322/15</f>
        <v>3488.133333333333</v>
      </c>
      <c r="I43" s="6">
        <v>3596.933333333333</v>
      </c>
      <c r="J43" s="6">
        <v>3639.933333333333</v>
      </c>
      <c r="K43" s="8"/>
      <c r="L43" s="8"/>
      <c r="M43" s="8"/>
      <c r="N43" s="8"/>
      <c r="O43" s="8"/>
      <c r="P43" s="8"/>
      <c r="Q43" s="8"/>
      <c r="R43" s="8"/>
      <c r="S43" s="8"/>
      <c r="V43" s="2"/>
      <c r="AC43" s="3"/>
      <c r="AD43" s="3"/>
      <c r="AE43" s="3"/>
      <c r="AF43" s="3"/>
      <c r="AI43" s="2"/>
      <c r="AO43" s="7"/>
      <c r="AR43" s="2"/>
      <c r="AS43" s="7"/>
      <c r="AT43" s="7"/>
      <c r="AU43" s="7"/>
      <c r="AV43" s="7"/>
      <c r="AW43" s="7"/>
      <c r="AX43" s="7"/>
      <c r="AY43" s="7"/>
      <c r="AZ43" s="7"/>
      <c r="BA43" s="7"/>
      <c r="BB43" s="7"/>
      <c r="BE43" s="2"/>
      <c r="BF43" s="7"/>
      <c r="BG43" s="7"/>
      <c r="BH43" s="7"/>
      <c r="BI43" s="7"/>
      <c r="BJ43" s="7"/>
      <c r="BK43" s="7"/>
      <c r="BL43" s="3"/>
      <c r="BM43" s="3"/>
      <c r="BN43" s="3"/>
      <c r="BO43" s="7"/>
      <c r="BR43" s="2"/>
      <c r="BV43" s="7"/>
      <c r="BW43" s="7"/>
      <c r="BX43" s="7"/>
    </row>
    <row r="44" spans="2:76" ht="12">
      <c r="B44" s="5" t="s">
        <v>33</v>
      </c>
      <c r="C44" s="8">
        <v>2084</v>
      </c>
      <c r="D44" s="8">
        <v>2017</v>
      </c>
      <c r="E44" s="8">
        <v>1888</v>
      </c>
      <c r="F44" s="8">
        <v>1898</v>
      </c>
      <c r="G44" s="8">
        <f>29423/15</f>
        <v>1961.5333333333333</v>
      </c>
      <c r="H44" s="8">
        <f>29268/15</f>
        <v>1951.2</v>
      </c>
      <c r="I44" s="6">
        <v>2045.0666666666666</v>
      </c>
      <c r="J44" s="6">
        <v>2080.6</v>
      </c>
      <c r="K44" s="8"/>
      <c r="L44" s="8"/>
      <c r="M44" s="8"/>
      <c r="N44" s="8"/>
      <c r="O44" s="8"/>
      <c r="P44" s="8"/>
      <c r="Q44" s="8"/>
      <c r="R44" s="8"/>
      <c r="S44" s="8"/>
      <c r="V44" s="2"/>
      <c r="AC44" s="3"/>
      <c r="AD44" s="3"/>
      <c r="AE44" s="3"/>
      <c r="AF44" s="3"/>
      <c r="AI44" s="2"/>
      <c r="AO44" s="7"/>
      <c r="AR44" s="2"/>
      <c r="AS44" s="7"/>
      <c r="AT44" s="7"/>
      <c r="AU44" s="7"/>
      <c r="AV44" s="7"/>
      <c r="AW44" s="7"/>
      <c r="AX44" s="7"/>
      <c r="AY44" s="7"/>
      <c r="AZ44" s="7"/>
      <c r="BA44" s="7"/>
      <c r="BB44" s="7"/>
      <c r="BE44" s="2"/>
      <c r="BF44" s="7"/>
      <c r="BG44" s="7"/>
      <c r="BH44" s="7"/>
      <c r="BI44" s="7"/>
      <c r="BJ44" s="7"/>
      <c r="BK44" s="7"/>
      <c r="BL44" s="3"/>
      <c r="BM44" s="3"/>
      <c r="BN44" s="3"/>
      <c r="BO44" s="7"/>
      <c r="BR44" s="2"/>
      <c r="BV44" s="7"/>
      <c r="BW44" s="7"/>
      <c r="BX44" s="7"/>
    </row>
    <row r="45" spans="2:41" ht="12">
      <c r="B45" s="1" t="s">
        <v>34</v>
      </c>
      <c r="C45" s="9" t="s">
        <v>35</v>
      </c>
      <c r="D45" s="9" t="s">
        <v>35</v>
      </c>
      <c r="E45" s="9" t="s">
        <v>35</v>
      </c>
      <c r="F45" s="9" t="s">
        <v>35</v>
      </c>
      <c r="G45" s="9" t="s">
        <v>35</v>
      </c>
      <c r="H45" s="8">
        <v>497</v>
      </c>
      <c r="I45" s="6">
        <v>547.3333333333334</v>
      </c>
      <c r="J45" s="6">
        <v>567.4666666666667</v>
      </c>
      <c r="K45" s="8"/>
      <c r="L45" s="8"/>
      <c r="M45" s="8"/>
      <c r="N45" s="8"/>
      <c r="O45" s="8"/>
      <c r="P45" s="8"/>
      <c r="Q45" s="8"/>
      <c r="R45" s="8"/>
      <c r="S45" s="8"/>
      <c r="AO45" s="7"/>
    </row>
    <row r="46" spans="3:76" ht="12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AO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F46" s="7"/>
      <c r="BG46" s="7"/>
      <c r="BH46" s="7"/>
      <c r="BI46" s="7"/>
      <c r="BJ46" s="7"/>
      <c r="BK46" s="7"/>
      <c r="BO46" s="7"/>
      <c r="BV46" s="7"/>
      <c r="BW46" s="7"/>
      <c r="BX46" s="7"/>
    </row>
    <row r="47" spans="1:76" ht="12">
      <c r="A47" s="5" t="s">
        <v>36</v>
      </c>
      <c r="C47" s="6">
        <f aca="true" t="shared" si="5" ref="C47:J47">SUM(C48:C51)</f>
        <v>15965.199999999999</v>
      </c>
      <c r="D47" s="6">
        <f t="shared" si="5"/>
        <v>15749.133333333333</v>
      </c>
      <c r="E47" s="6">
        <f t="shared" si="5"/>
        <v>15113.666666666666</v>
      </c>
      <c r="F47" s="6">
        <f t="shared" si="5"/>
        <v>15189.866666666667</v>
      </c>
      <c r="G47" s="6">
        <f t="shared" si="5"/>
        <v>15272.133333333333</v>
      </c>
      <c r="H47" s="6">
        <f t="shared" si="5"/>
        <v>15339.999999999998</v>
      </c>
      <c r="I47" s="6">
        <f t="shared" si="5"/>
        <v>15856.2</v>
      </c>
      <c r="J47" s="6">
        <f t="shared" si="5"/>
        <v>16184.933333333334</v>
      </c>
      <c r="K47" s="6"/>
      <c r="L47" s="6"/>
      <c r="M47" s="6"/>
      <c r="N47" s="6"/>
      <c r="O47" s="6"/>
      <c r="P47" s="6"/>
      <c r="Q47" s="6"/>
      <c r="R47" s="6"/>
      <c r="S47" s="6"/>
      <c r="U47" s="2"/>
      <c r="W47" s="3"/>
      <c r="X47" s="3"/>
      <c r="Y47" s="3"/>
      <c r="Z47" s="3"/>
      <c r="AA47" s="3"/>
      <c r="AB47" s="3"/>
      <c r="AC47" s="3"/>
      <c r="AD47" s="3"/>
      <c r="AE47" s="3"/>
      <c r="AF47" s="3"/>
      <c r="AH47" s="2"/>
      <c r="AJ47" s="3"/>
      <c r="AK47" s="3"/>
      <c r="AL47" s="3"/>
      <c r="AM47" s="3"/>
      <c r="AN47" s="3"/>
      <c r="AO47" s="7"/>
      <c r="AQ47" s="2"/>
      <c r="AS47" s="3"/>
      <c r="AT47" s="3"/>
      <c r="AU47" s="3"/>
      <c r="AV47" s="3"/>
      <c r="AW47" s="3"/>
      <c r="AX47" s="3"/>
      <c r="AY47" s="3"/>
      <c r="AZ47" s="3"/>
      <c r="BA47" s="3"/>
      <c r="BB47" s="3"/>
      <c r="BD47" s="2"/>
      <c r="BF47" s="3"/>
      <c r="BG47" s="3"/>
      <c r="BH47" s="3"/>
      <c r="BI47" s="3"/>
      <c r="BJ47" s="3"/>
      <c r="BK47" s="3"/>
      <c r="BL47" s="3"/>
      <c r="BM47" s="3"/>
      <c r="BN47" s="3"/>
      <c r="BO47" s="3"/>
      <c r="BQ47" s="2"/>
      <c r="BS47" s="3"/>
      <c r="BT47" s="3"/>
      <c r="BU47" s="3"/>
      <c r="BV47" s="3"/>
      <c r="BW47" s="3"/>
      <c r="BX47" s="3"/>
    </row>
    <row r="48" spans="2:76" ht="12">
      <c r="B48" s="5" t="s">
        <v>37</v>
      </c>
      <c r="C48" s="8">
        <v>9998</v>
      </c>
      <c r="D48" s="8">
        <v>9798</v>
      </c>
      <c r="E48" s="8">
        <v>9389</v>
      </c>
      <c r="F48" s="8">
        <v>9391</v>
      </c>
      <c r="G48" s="8">
        <f>141218/15</f>
        <v>9414.533333333333</v>
      </c>
      <c r="H48" s="8">
        <f>142154/15</f>
        <v>9476.933333333332</v>
      </c>
      <c r="I48" s="6">
        <v>9671.666666666666</v>
      </c>
      <c r="J48" s="6">
        <v>9827.733333333334</v>
      </c>
      <c r="K48" s="8"/>
      <c r="L48" s="8"/>
      <c r="M48" s="8"/>
      <c r="N48" s="8"/>
      <c r="O48" s="8"/>
      <c r="P48" s="8"/>
      <c r="Q48" s="8"/>
      <c r="R48" s="8"/>
      <c r="S48" s="8"/>
      <c r="V48" s="2"/>
      <c r="AC48" s="3"/>
      <c r="AD48" s="3"/>
      <c r="AE48" s="3"/>
      <c r="AF48" s="3"/>
      <c r="AI48" s="2"/>
      <c r="AO48" s="7"/>
      <c r="AR48" s="2"/>
      <c r="AS48" s="7"/>
      <c r="AT48" s="7"/>
      <c r="AU48" s="7"/>
      <c r="AV48" s="7"/>
      <c r="AW48" s="7"/>
      <c r="AX48" s="7"/>
      <c r="AY48" s="7"/>
      <c r="AZ48" s="7"/>
      <c r="BA48" s="7"/>
      <c r="BB48" s="7"/>
      <c r="BE48" s="2"/>
      <c r="BF48" s="7"/>
      <c r="BG48" s="7"/>
      <c r="BH48" s="7"/>
      <c r="BI48" s="7"/>
      <c r="BJ48" s="7"/>
      <c r="BK48" s="7"/>
      <c r="BL48" s="3"/>
      <c r="BM48" s="3"/>
      <c r="BN48" s="3"/>
      <c r="BO48" s="7"/>
      <c r="BR48" s="2"/>
      <c r="BV48" s="7"/>
      <c r="BW48" s="7"/>
      <c r="BX48" s="7"/>
    </row>
    <row r="49" spans="2:76" ht="12">
      <c r="B49" s="5" t="s">
        <v>38</v>
      </c>
      <c r="C49" s="8">
        <f>3456.4/1.5</f>
        <v>2304.266666666667</v>
      </c>
      <c r="D49" s="8">
        <f>3477/1.5</f>
        <v>2318</v>
      </c>
      <c r="E49" s="8">
        <f>3318.1/1.5</f>
        <v>2212.0666666666666</v>
      </c>
      <c r="F49" s="8">
        <f>3413.4/1.5</f>
        <v>2275.6</v>
      </c>
      <c r="G49" s="8">
        <f>34544/15</f>
        <v>2302.9333333333334</v>
      </c>
      <c r="H49" s="8">
        <f>35680/15</f>
        <v>2378.6666666666665</v>
      </c>
      <c r="I49" s="6">
        <v>2467.866666666667</v>
      </c>
      <c r="J49" s="6">
        <v>2543.2</v>
      </c>
      <c r="K49" s="8"/>
      <c r="L49" s="8"/>
      <c r="M49" s="8"/>
      <c r="N49" s="8"/>
      <c r="O49" s="8"/>
      <c r="P49" s="8"/>
      <c r="Q49" s="8"/>
      <c r="R49" s="8"/>
      <c r="S49" s="8"/>
      <c r="V49" s="2"/>
      <c r="AC49" s="3"/>
      <c r="AD49" s="3"/>
      <c r="AE49" s="3"/>
      <c r="AF49" s="3"/>
      <c r="AI49" s="2"/>
      <c r="AO49" s="7"/>
      <c r="AR49" s="2"/>
      <c r="AS49" s="7"/>
      <c r="AT49" s="7"/>
      <c r="AU49" s="7"/>
      <c r="AV49" s="7"/>
      <c r="AW49" s="7"/>
      <c r="AX49" s="7"/>
      <c r="AY49" s="7"/>
      <c r="AZ49" s="7"/>
      <c r="BA49" s="7"/>
      <c r="BB49" s="7"/>
      <c r="BE49" s="2"/>
      <c r="BF49" s="7"/>
      <c r="BG49" s="7"/>
      <c r="BH49" s="7"/>
      <c r="BI49" s="7"/>
      <c r="BJ49" s="7"/>
      <c r="BK49" s="7"/>
      <c r="BL49" s="3"/>
      <c r="BM49" s="3"/>
      <c r="BN49" s="3"/>
      <c r="BO49" s="7"/>
      <c r="BR49" s="2"/>
      <c r="BS49" s="7"/>
      <c r="BU49" s="7"/>
      <c r="BV49" s="7"/>
      <c r="BW49" s="7"/>
      <c r="BX49" s="7"/>
    </row>
    <row r="50" spans="2:76" ht="12">
      <c r="B50" s="5" t="s">
        <v>39</v>
      </c>
      <c r="C50" s="8">
        <f>5206.2/1.5</f>
        <v>3470.7999999999997</v>
      </c>
      <c r="D50" s="8">
        <f>5162.1/1.5</f>
        <v>3441.4</v>
      </c>
      <c r="E50" s="8">
        <f>4977.8/1.5</f>
        <v>3318.5333333333333</v>
      </c>
      <c r="F50" s="8">
        <f>4999.4/1.5</f>
        <v>3332.933333333333</v>
      </c>
      <c r="G50" s="8">
        <f>50468/15</f>
        <v>3364.5333333333333</v>
      </c>
      <c r="H50" s="8">
        <f>49414/15</f>
        <v>3294.266666666667</v>
      </c>
      <c r="I50" s="6">
        <v>3527.066666666667</v>
      </c>
      <c r="J50" s="6">
        <v>3622.2666666666664</v>
      </c>
      <c r="K50" s="8"/>
      <c r="L50" s="8"/>
      <c r="M50" s="8"/>
      <c r="N50" s="8"/>
      <c r="O50" s="8"/>
      <c r="P50" s="8"/>
      <c r="Q50" s="8"/>
      <c r="R50" s="8"/>
      <c r="S50" s="8"/>
      <c r="V50" s="2"/>
      <c r="AC50" s="3"/>
      <c r="AD50" s="3"/>
      <c r="AE50" s="3"/>
      <c r="AF50" s="3"/>
      <c r="AI50" s="2"/>
      <c r="AO50" s="7"/>
      <c r="AR50" s="2"/>
      <c r="AS50" s="7"/>
      <c r="AT50" s="7"/>
      <c r="AU50" s="7"/>
      <c r="AV50" s="7"/>
      <c r="AW50" s="7"/>
      <c r="AX50" s="7"/>
      <c r="AY50" s="7"/>
      <c r="AZ50" s="7"/>
      <c r="BA50" s="7"/>
      <c r="BB50" s="7"/>
      <c r="BE50" s="2"/>
      <c r="BF50" s="7"/>
      <c r="BG50" s="7"/>
      <c r="BH50" s="7"/>
      <c r="BI50" s="7"/>
      <c r="BJ50" s="7"/>
      <c r="BK50" s="7"/>
      <c r="BL50" s="3"/>
      <c r="BM50" s="3"/>
      <c r="BN50" s="3"/>
      <c r="BO50" s="7"/>
      <c r="BR50" s="2"/>
      <c r="BS50" s="7"/>
      <c r="BT50" s="7"/>
      <c r="BU50" s="7"/>
      <c r="BV50" s="7"/>
      <c r="BW50" s="7"/>
      <c r="BX50" s="7"/>
    </row>
    <row r="51" spans="2:76" ht="12">
      <c r="B51" s="5" t="s">
        <v>40</v>
      </c>
      <c r="C51" s="8">
        <f>288.2/1.5</f>
        <v>192.13333333333333</v>
      </c>
      <c r="D51" s="8">
        <f>287.6/1.5</f>
        <v>191.73333333333335</v>
      </c>
      <c r="E51" s="8">
        <f>291.1/1.5</f>
        <v>194.0666666666667</v>
      </c>
      <c r="F51" s="8">
        <f>285.5/1.5</f>
        <v>190.33333333333334</v>
      </c>
      <c r="G51" s="8">
        <f>2852/15</f>
        <v>190.13333333333333</v>
      </c>
      <c r="H51" s="8">
        <f>2852/15</f>
        <v>190.13333333333333</v>
      </c>
      <c r="I51" s="6">
        <v>189.6</v>
      </c>
      <c r="J51" s="6">
        <v>191.73333333333335</v>
      </c>
      <c r="K51" s="8"/>
      <c r="L51" s="8"/>
      <c r="M51" s="8"/>
      <c r="N51" s="8"/>
      <c r="O51" s="8"/>
      <c r="P51" s="8"/>
      <c r="Q51" s="8"/>
      <c r="R51" s="8"/>
      <c r="S51" s="8"/>
      <c r="V51" s="2"/>
      <c r="AC51" s="3"/>
      <c r="AD51" s="3"/>
      <c r="AE51" s="3"/>
      <c r="AF51" s="3"/>
      <c r="AI51" s="2"/>
      <c r="AO51" s="7"/>
      <c r="AR51" s="2"/>
      <c r="AS51" s="7"/>
      <c r="AT51" s="7"/>
      <c r="AU51" s="7"/>
      <c r="AV51" s="7"/>
      <c r="AW51" s="7"/>
      <c r="AX51" s="7"/>
      <c r="AY51" s="7"/>
      <c r="AZ51" s="7"/>
      <c r="BA51" s="7"/>
      <c r="BB51" s="7"/>
      <c r="BE51" s="2"/>
      <c r="BF51" s="7"/>
      <c r="BG51" s="7"/>
      <c r="BH51" s="7"/>
      <c r="BI51" s="7"/>
      <c r="BJ51" s="7"/>
      <c r="BK51" s="7"/>
      <c r="BL51" s="3"/>
      <c r="BM51" s="3"/>
      <c r="BN51" s="3"/>
      <c r="BO51" s="7"/>
      <c r="BR51" s="2"/>
      <c r="BS51" s="7"/>
      <c r="BT51" s="7"/>
      <c r="BU51" s="7"/>
      <c r="BV51" s="7"/>
      <c r="BW51" s="7"/>
      <c r="BX51" s="7"/>
    </row>
    <row r="52" spans="3:76" ht="1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AO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F52" s="7"/>
      <c r="BG52" s="7"/>
      <c r="BH52" s="7"/>
      <c r="BI52" s="7"/>
      <c r="BJ52" s="7"/>
      <c r="BK52" s="7"/>
      <c r="BO52" s="7"/>
      <c r="BV52" s="7"/>
      <c r="BW52" s="7"/>
      <c r="BX52" s="7"/>
    </row>
    <row r="53" spans="1:76" ht="12">
      <c r="A53" s="5" t="s">
        <v>41</v>
      </c>
      <c r="C53" s="6">
        <f aca="true" t="shared" si="6" ref="C53:J53">SUM(C9,C14,C22,C30,C36,C41,C47)</f>
        <v>114046.2</v>
      </c>
      <c r="D53" s="6">
        <f t="shared" si="6"/>
        <v>112884.13333333333</v>
      </c>
      <c r="E53" s="6">
        <f t="shared" si="6"/>
        <v>108842.66666666667</v>
      </c>
      <c r="F53" s="6">
        <f t="shared" si="6"/>
        <v>110933.26666666666</v>
      </c>
      <c r="G53" s="6">
        <f t="shared" si="6"/>
        <v>111447.99999999999</v>
      </c>
      <c r="H53" s="6">
        <f t="shared" si="6"/>
        <v>110307.33333333334</v>
      </c>
      <c r="I53" s="6">
        <f t="shared" si="6"/>
        <v>112204.33333333334</v>
      </c>
      <c r="J53" s="6">
        <f t="shared" si="6"/>
        <v>113465.86666666667</v>
      </c>
      <c r="K53" s="6"/>
      <c r="L53" s="6"/>
      <c r="M53" s="6"/>
      <c r="N53" s="6"/>
      <c r="O53" s="6"/>
      <c r="P53" s="6"/>
      <c r="Q53" s="6"/>
      <c r="R53" s="6"/>
      <c r="S53" s="6"/>
      <c r="U53" s="2"/>
      <c r="W53" s="3"/>
      <c r="X53" s="3"/>
      <c r="Y53" s="3"/>
      <c r="Z53" s="3"/>
      <c r="AA53" s="3"/>
      <c r="AB53" s="3"/>
      <c r="AC53" s="3"/>
      <c r="AD53" s="3"/>
      <c r="AE53" s="3"/>
      <c r="AF53" s="3"/>
      <c r="AH53" s="2"/>
      <c r="AJ53" s="3"/>
      <c r="AK53" s="3"/>
      <c r="AL53" s="3"/>
      <c r="AM53" s="3"/>
      <c r="AN53" s="3"/>
      <c r="AO53" s="7"/>
      <c r="AQ53" s="2"/>
      <c r="AS53" s="3"/>
      <c r="AT53" s="3"/>
      <c r="AU53" s="3"/>
      <c r="AV53" s="3"/>
      <c r="AW53" s="3"/>
      <c r="AX53" s="3"/>
      <c r="AY53" s="3"/>
      <c r="AZ53" s="3"/>
      <c r="BA53" s="3"/>
      <c r="BB53" s="3"/>
      <c r="BD53" s="2"/>
      <c r="BF53" s="3"/>
      <c r="BG53" s="3"/>
      <c r="BH53" s="3"/>
      <c r="BI53" s="3"/>
      <c r="BJ53" s="3"/>
      <c r="BK53" s="3"/>
      <c r="BL53" s="3"/>
      <c r="BM53" s="3"/>
      <c r="BN53" s="3"/>
      <c r="BO53" s="3"/>
      <c r="BQ53" s="2"/>
      <c r="BS53" s="3"/>
      <c r="BT53" s="3"/>
      <c r="BU53" s="3"/>
      <c r="BV53" s="3"/>
      <c r="BW53" s="3"/>
      <c r="BX53" s="3"/>
    </row>
    <row r="54" spans="1:76" ht="12">
      <c r="A54" s="5" t="s">
        <v>42</v>
      </c>
      <c r="C54" s="8">
        <v>114047.33333333333</v>
      </c>
      <c r="D54" s="8">
        <v>112884</v>
      </c>
      <c r="E54" s="8">
        <v>108845.33333333333</v>
      </c>
      <c r="F54" s="8">
        <v>110932.66666666667</v>
      </c>
      <c r="G54" s="8">
        <v>111268</v>
      </c>
      <c r="H54" s="8">
        <v>110122.66666666667</v>
      </c>
      <c r="I54" s="8">
        <v>112204.66666666667</v>
      </c>
      <c r="J54" s="8">
        <v>113465.86666666667</v>
      </c>
      <c r="K54" s="8"/>
      <c r="L54" s="8"/>
      <c r="M54" s="8"/>
      <c r="N54" s="8"/>
      <c r="O54" s="8"/>
      <c r="P54" s="8"/>
      <c r="Q54" s="8"/>
      <c r="R54" s="8"/>
      <c r="S54" s="8"/>
      <c r="U54" s="2"/>
      <c r="AC54" s="3"/>
      <c r="AD54" s="3"/>
      <c r="AE54" s="3"/>
      <c r="AF54" s="3"/>
      <c r="AH54" s="2"/>
      <c r="AO54" s="7"/>
      <c r="AQ54" s="2"/>
      <c r="BD54" s="2"/>
      <c r="BL54" s="3"/>
      <c r="BM54" s="3"/>
      <c r="BN54" s="3"/>
      <c r="BO54" s="7"/>
      <c r="BQ54" s="2"/>
      <c r="BV54" s="7"/>
      <c r="BW54" s="7"/>
      <c r="BX54" s="7"/>
    </row>
    <row r="55" spans="3:19" ht="1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3:19" ht="1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76" ht="12">
      <c r="A57" s="1" t="s">
        <v>43</v>
      </c>
      <c r="C57" s="8"/>
      <c r="D57" s="8"/>
      <c r="E57" s="8"/>
      <c r="F57" s="8"/>
      <c r="G57" s="8"/>
      <c r="H57" s="8"/>
      <c r="I57" s="8"/>
      <c r="J57" s="8"/>
      <c r="K57" s="6"/>
      <c r="L57" s="6"/>
      <c r="M57" s="6"/>
      <c r="N57" s="6"/>
      <c r="O57" s="6"/>
      <c r="P57" s="6"/>
      <c r="Q57" s="6"/>
      <c r="R57" s="6"/>
      <c r="S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H57" s="2"/>
      <c r="AI57" s="2"/>
      <c r="AJ57" s="2"/>
      <c r="AK57" s="2"/>
      <c r="AL57" s="2"/>
      <c r="AM57" s="2"/>
      <c r="AN57" s="2"/>
      <c r="AO57" s="2"/>
      <c r="BS57" s="2"/>
      <c r="BT57" s="2"/>
      <c r="BU57" s="2"/>
      <c r="BV57" s="2"/>
      <c r="BW57" s="2"/>
      <c r="BX57" s="2"/>
    </row>
    <row r="58" spans="1:19" ht="12">
      <c r="A58" s="1" t="s">
        <v>44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>
      <c r="A59" s="1" t="s">
        <v>45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3:19" ht="1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64" ht="12">
      <c r="A61" s="1" t="s">
        <v>46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AQ61" s="1" t="s">
        <v>47</v>
      </c>
      <c r="BD61" s="1" t="s">
        <v>48</v>
      </c>
      <c r="BL61" s="1" t="s">
        <v>48</v>
      </c>
    </row>
    <row r="62" spans="1:43" ht="12">
      <c r="A62" s="1" t="s">
        <v>49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AQ62" s="1" t="s">
        <v>47</v>
      </c>
    </row>
    <row r="63" spans="3:19" ht="1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3:19" ht="1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3:19" ht="12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3:19" ht="12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3:19" ht="12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3:19" ht="12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2006-11-01T19:46:50Z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