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6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<sst xmlns="http://schemas.openxmlformats.org/spreadsheetml/2006/main" count="62" uniqueCount="49">
  <si>
    <t>Table 63--Total grain area, by region and province, China, 1963-72—u1</t>
  </si>
  <si>
    <t xml:space="preserve"> </t>
  </si>
  <si>
    <t>Region/province</t>
  </si>
  <si>
    <t xml:space="preserve">   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</si>
  <si>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</si>
  <si>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</si>
  <si>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</si>
  <si>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</si>
  <si>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</si>
  <si>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</si>
  <si>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</si>
  <si>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</si>
  <si>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</si>
  <si>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</si>
  <si>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</si>
  <si>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</si>
  <si>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</si>
  <si>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</si>
  <si>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</si>
  <si>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</si>
  <si>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</si>
  <si>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</si>
  <si>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</si>
  <si>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</si>
  <si>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</si>
  <si>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</si>
  <si>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</si>
  <si>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</si>
  <si>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</si>
  <si>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</si>
  <si>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</si>
  <si>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</si>
  <si>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</si>
  <si>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</si>
  <si>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</si>
  <si>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</si>
  <si>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</si>
  <si>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</si>
  <si>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</si>
  <si>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</si>
  <si>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</si>
  <si>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</si>
  <si>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</si>
  <si>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</si>
  <si>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Total grain includes rice, wheat, corn, sorghum, millet, other miscellaneous grain, tubers (potatoes) and soybeans.</t>
  </si>
  <si>
    <t xml:space="preserve">    —u2˜ Hainan data available beginning in 1988 -- prior years included in Guangdong.</t>
  </si>
  <si>
    <t xml:space="preserve">    Sources:  (3, p. 22), (4, p. 34), (5, p. 37), (6, p. 85), (7, p. 146), (8, p. 179), (28, p. 137), (56, pp. 74-118), (34, p. 358) and</t>
  </si>
  <si>
    <t>(35, p. 341).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</si>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</sst>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U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6" width="8.625" style="0" customWidth="1"/>
    <col min="18" max="18" width="2.625" style="0" customWidth="1"/>
    <col min="19" max="19" width="13.625" style="0" customWidth="1"/>
    <col min="20" max="22" width="8.625" style="0" customWidth="1"/>
    <col min="23" max="23" width="7.625" style="0" customWidth="1"/>
    <col min="24" max="29" width="8.625" style="0" customWidth="1"/>
    <col min="31" max="31" width="2.625" style="0" customWidth="1"/>
    <col min="32" max="32" width="13.625" style="0" customWidth="1"/>
    <col min="33" max="38" width="10.625" style="0" customWidth="1"/>
    <col min="40" max="40" width="2.625" style="0" customWidth="1"/>
    <col min="41" max="41" width="13.625" style="0" customWidth="1"/>
    <col min="42" max="51" width="8.625" style="0" customWidth="1"/>
    <col min="53" max="53" width="2.625" style="0" customWidth="1"/>
    <col min="54" max="54" width="13.625" style="0" customWidth="1"/>
    <col min="55" max="64" width="8.625" style="0" customWidth="1"/>
    <col min="66" max="66" width="2.625" style="0" customWidth="1"/>
    <col min="67" max="67" width="13.625" style="0" customWidth="1"/>
  </cols>
  <sheetData>
    <row r="1" ht="12">
      <c r="A1" s="1" t="s">
        <v>0</v>
      </c>
    </row>
    <row r="2" spans="13:73" ht="12">
      <c r="M2" s="2"/>
      <c r="N2" s="2"/>
      <c r="O2" s="3"/>
      <c r="P2" s="3"/>
      <c r="R2" s="2"/>
      <c r="S2" s="2"/>
      <c r="T2" s="2"/>
      <c r="U2" s="2"/>
      <c r="V2" s="2"/>
      <c r="W2" s="2"/>
      <c r="X2" s="2"/>
      <c r="Y2" s="3"/>
      <c r="Z2" s="3"/>
      <c r="AA2" s="2"/>
      <c r="AB2" s="2"/>
      <c r="AC2" s="2"/>
      <c r="AE2" s="2"/>
      <c r="AF2" s="2"/>
      <c r="AG2" s="2"/>
      <c r="AH2" s="2"/>
      <c r="AI2" s="2"/>
      <c r="AJ2" s="2"/>
      <c r="AK2" s="2"/>
      <c r="AL2" s="2"/>
      <c r="AN2" s="3"/>
      <c r="AO2" s="3"/>
      <c r="AP2" s="3"/>
      <c r="AQ2" s="2"/>
      <c r="AR2" s="2"/>
      <c r="AS2" s="2"/>
      <c r="AT2" s="2"/>
      <c r="AU2" s="2"/>
      <c r="AV2" s="2"/>
      <c r="AW2" s="2"/>
      <c r="AX2" s="2"/>
      <c r="AY2" s="3"/>
      <c r="BA2" s="3"/>
      <c r="BB2" s="3"/>
      <c r="BC2" s="2"/>
      <c r="BD2" s="2"/>
      <c r="BE2" s="2"/>
      <c r="BF2" s="2"/>
      <c r="BG2" s="2"/>
      <c r="BH2" s="3"/>
      <c r="BI2" s="3"/>
      <c r="BJ2" s="3"/>
      <c r="BK2" s="3"/>
      <c r="BL2" s="3"/>
      <c r="BN2" s="3"/>
      <c r="BO2" s="3"/>
      <c r="BP2" s="3"/>
      <c r="BQ2" s="3"/>
      <c r="BR2" s="3"/>
      <c r="BS2" s="3"/>
      <c r="BT2" s="3"/>
      <c r="BU2" s="3"/>
    </row>
    <row r="3" spans="2:66" ht="12">
      <c r="B3" s="3"/>
      <c r="C3" s="4" t="s">
        <v>1</v>
      </c>
      <c r="L3" s="4" t="s">
        <v>1</v>
      </c>
      <c r="P3" s="2"/>
      <c r="R3" s="3"/>
      <c r="Z3" s="2"/>
      <c r="AE3" s="3"/>
      <c r="AN3" s="3"/>
      <c r="AP3" s="2"/>
      <c r="AY3" s="2"/>
      <c r="BA3" s="3"/>
      <c r="BK3" s="2"/>
      <c r="BN3" s="3"/>
    </row>
    <row r="4" spans="1:66" ht="12">
      <c r="A4" s="1" t="s">
        <v>2</v>
      </c>
      <c r="B4" s="3"/>
      <c r="C4" s="2">
        <v>1963</v>
      </c>
      <c r="D4" s="2">
        <v>1964</v>
      </c>
      <c r="E4" s="5">
        <v>1965</v>
      </c>
      <c r="F4" s="5">
        <v>1966</v>
      </c>
      <c r="G4" s="5">
        <v>1967</v>
      </c>
      <c r="H4" s="5">
        <v>1968</v>
      </c>
      <c r="I4" s="5">
        <v>1969</v>
      </c>
      <c r="J4" s="5">
        <v>1970</v>
      </c>
      <c r="K4" s="2">
        <v>1971</v>
      </c>
      <c r="L4" s="2">
        <v>1972</v>
      </c>
      <c r="O4" s="2"/>
      <c r="P4" s="2"/>
      <c r="R4" s="3"/>
      <c r="T4" s="2"/>
      <c r="Y4" s="2"/>
      <c r="Z4" s="2"/>
      <c r="AA4" s="2"/>
      <c r="AC4" s="2"/>
      <c r="AE4" s="3"/>
      <c r="AN4" s="3"/>
      <c r="AP4" s="2"/>
      <c r="AQ4" s="2"/>
      <c r="AY4" s="2"/>
      <c r="BA4" s="3"/>
      <c r="BC4" s="2"/>
      <c r="BH4" s="2"/>
      <c r="BI4" s="2"/>
      <c r="BJ4" s="2"/>
      <c r="BK4" s="2"/>
      <c r="BL4" s="2"/>
      <c r="BN4" s="3"/>
    </row>
    <row r="6" spans="18:66" ht="12">
      <c r="R6" s="2"/>
      <c r="AE6" s="2"/>
      <c r="AN6" s="2"/>
      <c r="BA6" s="2"/>
      <c r="BN6" s="2"/>
    </row>
    <row r="7" spans="7:29" ht="12">
      <c r="G7" s="1" t="s">
        <v>3</v>
      </c>
      <c r="AC7" s="2"/>
    </row>
    <row r="9" spans="1:73" ht="12">
      <c r="A9" s="6" t="s">
        <v>4</v>
      </c>
      <c r="C9" s="7">
        <f aca="true" t="shared" si="0" ref="C9:L9">SUM(C10:C12)</f>
        <v>13953</v>
      </c>
      <c r="D9" s="7">
        <f t="shared" si="0"/>
        <v>16190.066666666666</v>
      </c>
      <c r="E9" s="7">
        <f t="shared" si="0"/>
        <v>14412.933333333332</v>
      </c>
      <c r="F9" s="7">
        <f t="shared" si="0"/>
        <v>14197</v>
      </c>
      <c r="G9" s="7">
        <f t="shared" si="0"/>
        <v>14234.666666666666</v>
      </c>
      <c r="H9" s="7">
        <f t="shared" si="0"/>
        <v>14435.2</v>
      </c>
      <c r="I9" s="7">
        <f t="shared" si="0"/>
        <v>14640.4</v>
      </c>
      <c r="J9" s="7">
        <f t="shared" si="0"/>
        <v>14768.2</v>
      </c>
      <c r="K9" s="7">
        <f t="shared" si="0"/>
        <v>14674.2</v>
      </c>
      <c r="L9" s="7">
        <f t="shared" si="0"/>
        <v>14391.599999999999</v>
      </c>
      <c r="M9" s="7"/>
      <c r="N9" s="7"/>
      <c r="O9" s="7"/>
      <c r="P9" s="7"/>
      <c r="Q9" s="8"/>
      <c r="R9" s="7"/>
      <c r="S9" s="8"/>
      <c r="T9" s="2"/>
      <c r="U9" s="2"/>
      <c r="V9" s="2"/>
      <c r="W9" s="2"/>
      <c r="X9" s="2"/>
      <c r="Y9" s="2"/>
      <c r="Z9" s="2"/>
      <c r="AA9" s="2"/>
      <c r="AB9" s="2"/>
      <c r="AC9" s="2"/>
      <c r="AE9" s="3"/>
      <c r="AG9" s="2"/>
      <c r="AH9" s="2"/>
      <c r="AI9" s="2"/>
      <c r="AJ9" s="2"/>
      <c r="AK9" s="2"/>
      <c r="AL9" s="9"/>
      <c r="AN9" s="3"/>
      <c r="AP9" s="2"/>
      <c r="AQ9" s="2"/>
      <c r="AR9" s="2"/>
      <c r="AS9" s="2"/>
      <c r="AT9" s="2"/>
      <c r="AU9" s="2"/>
      <c r="AV9" s="2"/>
      <c r="AW9" s="2"/>
      <c r="AX9" s="2"/>
      <c r="AY9" s="2"/>
      <c r="BA9" s="3"/>
      <c r="BC9" s="2"/>
      <c r="BD9" s="2"/>
      <c r="BE9" s="2"/>
      <c r="BF9" s="2"/>
      <c r="BG9" s="2"/>
      <c r="BH9" s="2"/>
      <c r="BI9" s="2"/>
      <c r="BJ9" s="2"/>
      <c r="BK9" s="2"/>
      <c r="BL9" s="2"/>
      <c r="BN9" s="3"/>
      <c r="BP9" s="2"/>
      <c r="BQ9" s="2"/>
      <c r="BR9" s="2"/>
      <c r="BS9" s="2"/>
      <c r="BT9" s="2"/>
      <c r="BU9" s="2"/>
    </row>
    <row r="10" spans="2:73" ht="12">
      <c r="B10" s="6" t="s">
        <v>5</v>
      </c>
      <c r="C10" s="8">
        <f>9023.7/1.5</f>
        <v>6015.8</v>
      </c>
      <c r="D10" s="8">
        <f>9360.5/1.5</f>
        <v>6240.333333333333</v>
      </c>
      <c r="E10" s="8">
        <f>9810.9/1.5</f>
        <v>6540.599999999999</v>
      </c>
      <c r="F10" s="8">
        <f>10046.2/1.5</f>
        <v>6697.466666666667</v>
      </c>
      <c r="G10" s="8">
        <f>10221.1/1.5</f>
        <v>6814.066666666667</v>
      </c>
      <c r="H10" s="8">
        <f>10120.6/1.5</f>
        <v>6747.066666666667</v>
      </c>
      <c r="I10" s="8">
        <f>10364.7/1.5</f>
        <v>6909.8</v>
      </c>
      <c r="J10" s="8">
        <f>10423.7/1.5</f>
        <v>6949.133333333334</v>
      </c>
      <c r="K10" s="8">
        <f>10532.5/1.5</f>
        <v>7021.666666666667</v>
      </c>
      <c r="L10" s="8">
        <f>10404.8/1.5</f>
        <v>6936.533333333333</v>
      </c>
      <c r="M10" s="8"/>
      <c r="N10" s="8"/>
      <c r="O10" s="8"/>
      <c r="P10" s="8"/>
      <c r="Q10" s="8"/>
      <c r="R10" s="8"/>
      <c r="S10" s="7"/>
      <c r="Z10" s="2"/>
      <c r="AA10" s="2"/>
      <c r="AB10" s="2"/>
      <c r="AC10" s="2"/>
      <c r="AF10" s="3"/>
      <c r="AL10" s="9"/>
      <c r="AO10" s="3"/>
      <c r="AP10" s="9"/>
      <c r="AQ10" s="9"/>
      <c r="AR10" s="9"/>
      <c r="AS10" s="9"/>
      <c r="AT10" s="9"/>
      <c r="AU10" s="9"/>
      <c r="AV10" s="9"/>
      <c r="AW10" s="9"/>
      <c r="AX10" s="9"/>
      <c r="AY10" s="9"/>
      <c r="BB10" s="3"/>
      <c r="BC10" s="9"/>
      <c r="BD10" s="9"/>
      <c r="BE10" s="9"/>
      <c r="BF10" s="9"/>
      <c r="BG10" s="9"/>
      <c r="BH10" s="9"/>
      <c r="BI10" s="2"/>
      <c r="BJ10" s="2"/>
      <c r="BK10" s="2"/>
      <c r="BL10" s="9"/>
      <c r="BO10" s="3"/>
      <c r="BS10" s="9"/>
      <c r="BT10" s="9"/>
      <c r="BU10" s="9"/>
    </row>
    <row r="11" spans="2:73" ht="12">
      <c r="B11" s="6" t="s">
        <v>6</v>
      </c>
      <c r="C11" s="8">
        <f>5819/1.5</f>
        <v>3879.3333333333335</v>
      </c>
      <c r="D11" s="8">
        <f>5789/1.5</f>
        <v>3859.3333333333335</v>
      </c>
      <c r="E11" s="8">
        <f>5757.6/1.5</f>
        <v>3838.4</v>
      </c>
      <c r="F11" s="8">
        <f>5260.7/1.5</f>
        <v>3507.133333333333</v>
      </c>
      <c r="G11" s="8">
        <f>5193/1.5</f>
        <v>3462</v>
      </c>
      <c r="H11" s="8">
        <f>5612.7/1.5</f>
        <v>3741.7999999999997</v>
      </c>
      <c r="I11" s="8">
        <f>5684.5/1.5</f>
        <v>3789.6666666666665</v>
      </c>
      <c r="J11" s="8">
        <f>5769.4/1.5</f>
        <v>3846.2666666666664</v>
      </c>
      <c r="K11" s="8">
        <f>5569.8/1.5</f>
        <v>3713.2000000000003</v>
      </c>
      <c r="L11" s="8">
        <f>5390.3/1.5</f>
        <v>3593.5333333333333</v>
      </c>
      <c r="M11" s="8"/>
      <c r="N11" s="8"/>
      <c r="O11" s="8"/>
      <c r="P11" s="8"/>
      <c r="Q11" s="8"/>
      <c r="R11" s="8"/>
      <c r="S11" s="7"/>
      <c r="Z11" s="2"/>
      <c r="AA11" s="2"/>
      <c r="AB11" s="2"/>
      <c r="AC11" s="2"/>
      <c r="AF11" s="3"/>
      <c r="AL11" s="9"/>
      <c r="AO11" s="3"/>
      <c r="AP11" s="9"/>
      <c r="AQ11" s="9"/>
      <c r="AR11" s="9"/>
      <c r="AS11" s="9"/>
      <c r="AT11" s="9"/>
      <c r="AU11" s="9"/>
      <c r="AV11" s="9"/>
      <c r="AW11" s="9"/>
      <c r="AX11" s="9"/>
      <c r="AY11" s="9"/>
      <c r="BB11" s="3"/>
      <c r="BC11" s="9"/>
      <c r="BD11" s="9"/>
      <c r="BE11" s="9"/>
      <c r="BF11" s="9"/>
      <c r="BG11" s="9"/>
      <c r="BH11" s="9"/>
      <c r="BI11" s="2"/>
      <c r="BJ11" s="2"/>
      <c r="BK11" s="2"/>
      <c r="BL11" s="9"/>
      <c r="BO11" s="3"/>
      <c r="BS11" s="9"/>
      <c r="BT11" s="9"/>
      <c r="BU11" s="9"/>
    </row>
    <row r="12" spans="2:73" ht="12">
      <c r="B12" s="6" t="s">
        <v>7</v>
      </c>
      <c r="C12" s="8">
        <f>6086.8/1.5</f>
        <v>4057.866666666667</v>
      </c>
      <c r="D12" s="8">
        <v>6090.4</v>
      </c>
      <c r="E12" s="8">
        <f>6050.9/1.5</f>
        <v>4033.933333333333</v>
      </c>
      <c r="F12" s="8">
        <f>5988.6/1.5</f>
        <v>3992.4</v>
      </c>
      <c r="G12" s="8">
        <f>5937.9/1.5</f>
        <v>3958.6</v>
      </c>
      <c r="H12" s="8">
        <f>5919.5/1.5</f>
        <v>3946.3333333333335</v>
      </c>
      <c r="I12" s="8">
        <f>5911.4/1.5</f>
        <v>3940.933333333333</v>
      </c>
      <c r="J12" s="8">
        <f>5959.2/1.5</f>
        <v>3972.7999999999997</v>
      </c>
      <c r="K12" s="8">
        <f>5909/1.5</f>
        <v>3939.3333333333335</v>
      </c>
      <c r="L12" s="8">
        <f>5792.3/1.5</f>
        <v>3861.5333333333333</v>
      </c>
      <c r="M12" s="8"/>
      <c r="N12" s="8"/>
      <c r="O12" s="8"/>
      <c r="P12" s="8"/>
      <c r="Q12" s="8"/>
      <c r="R12" s="8"/>
      <c r="S12" s="7"/>
      <c r="Z12" s="2"/>
      <c r="AA12" s="2"/>
      <c r="AB12" s="2"/>
      <c r="AC12" s="2"/>
      <c r="AF12" s="3"/>
      <c r="AL12" s="9"/>
      <c r="AO12" s="3"/>
      <c r="AP12" s="9"/>
      <c r="AQ12" s="9"/>
      <c r="AR12" s="9"/>
      <c r="AS12" s="9"/>
      <c r="AT12" s="9"/>
      <c r="AU12" s="9"/>
      <c r="AV12" s="9"/>
      <c r="AW12" s="9"/>
      <c r="AX12" s="9"/>
      <c r="AY12" s="9"/>
      <c r="BB12" s="3"/>
      <c r="BC12" s="9"/>
      <c r="BD12" s="9"/>
      <c r="BE12" s="9"/>
      <c r="BF12" s="9"/>
      <c r="BG12" s="9"/>
      <c r="BH12" s="9"/>
      <c r="BI12" s="2"/>
      <c r="BJ12" s="2"/>
      <c r="BK12" s="2"/>
      <c r="BL12" s="9"/>
      <c r="BO12" s="3"/>
      <c r="BS12" s="9"/>
      <c r="BT12" s="9"/>
      <c r="BU12" s="9"/>
    </row>
    <row r="13" spans="3:73" ht="12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AL13" s="9"/>
      <c r="BL13" s="9"/>
      <c r="BS13" s="9"/>
      <c r="BT13" s="9"/>
      <c r="BU13" s="9"/>
    </row>
    <row r="14" spans="1:73" ht="12">
      <c r="A14" s="6" t="s">
        <v>8</v>
      </c>
      <c r="C14" s="7">
        <f aca="true" t="shared" si="1" ref="C14:L14">SUM(C15:C20)</f>
        <v>32478.333333333332</v>
      </c>
      <c r="D14" s="7">
        <f t="shared" si="1"/>
        <v>32929.46666666666</v>
      </c>
      <c r="E14" s="7">
        <f t="shared" si="1"/>
        <v>32145.399999999998</v>
      </c>
      <c r="F14" s="7">
        <f t="shared" si="1"/>
        <v>32033.466666666667</v>
      </c>
      <c r="G14" s="7">
        <f t="shared" si="1"/>
        <v>31434.4</v>
      </c>
      <c r="H14" s="7">
        <f t="shared" si="1"/>
        <v>30797.000000000004</v>
      </c>
      <c r="I14" s="7">
        <f t="shared" si="1"/>
        <v>30536.488888888893</v>
      </c>
      <c r="J14" s="7">
        <f t="shared" si="1"/>
        <v>31308.4</v>
      </c>
      <c r="K14" s="7">
        <f t="shared" si="1"/>
        <v>31177.800000000003</v>
      </c>
      <c r="L14" s="7">
        <f t="shared" si="1"/>
        <v>31197.666666666668</v>
      </c>
      <c r="M14" s="7"/>
      <c r="N14" s="7"/>
      <c r="O14" s="7"/>
      <c r="P14" s="7"/>
      <c r="Q14" s="8"/>
      <c r="R14" s="7"/>
      <c r="S14" s="8"/>
      <c r="T14" s="2"/>
      <c r="U14" s="2"/>
      <c r="V14" s="2"/>
      <c r="W14" s="2"/>
      <c r="X14" s="2"/>
      <c r="Y14" s="2"/>
      <c r="Z14" s="2"/>
      <c r="AA14" s="2"/>
      <c r="AB14" s="2"/>
      <c r="AC14" s="2"/>
      <c r="AE14" s="3"/>
      <c r="AG14" s="2"/>
      <c r="AH14" s="2"/>
      <c r="AI14" s="2"/>
      <c r="AJ14" s="2"/>
      <c r="AK14" s="2"/>
      <c r="AL14" s="9"/>
      <c r="AN14" s="3"/>
      <c r="AP14" s="2"/>
      <c r="AQ14" s="2"/>
      <c r="AR14" s="2"/>
      <c r="AS14" s="2"/>
      <c r="AT14" s="2"/>
      <c r="AU14" s="2"/>
      <c r="AV14" s="2"/>
      <c r="AW14" s="2"/>
      <c r="AX14" s="2"/>
      <c r="AY14" s="2"/>
      <c r="BA14" s="3"/>
      <c r="BC14" s="2"/>
      <c r="BD14" s="2"/>
      <c r="BE14" s="2"/>
      <c r="BF14" s="2"/>
      <c r="BG14" s="2"/>
      <c r="BH14" s="2"/>
      <c r="BI14" s="2"/>
      <c r="BJ14" s="2"/>
      <c r="BK14" s="2"/>
      <c r="BL14" s="2"/>
      <c r="BN14" s="3"/>
      <c r="BP14" s="2"/>
      <c r="BQ14" s="2"/>
      <c r="BR14" s="2"/>
      <c r="BS14" s="2"/>
      <c r="BT14" s="2"/>
      <c r="BU14" s="2"/>
    </row>
    <row r="15" spans="2:73" ht="12">
      <c r="B15" s="6" t="s">
        <v>9</v>
      </c>
      <c r="C15" s="8">
        <f>15153.7/1.5</f>
        <v>10102.466666666667</v>
      </c>
      <c r="D15" s="8">
        <f>15034.3/1.5</f>
        <v>10022.866666666667</v>
      </c>
      <c r="E15" s="8">
        <f>14909.4/1.5</f>
        <v>9939.6</v>
      </c>
      <c r="F15" s="8">
        <f>14361.2/1.5</f>
        <v>9574.133333333333</v>
      </c>
      <c r="G15" s="8">
        <f>14060/1.5</f>
        <v>9373.333333333334</v>
      </c>
      <c r="H15" s="8">
        <f>13773.3/1.5</f>
        <v>9182.199999999999</v>
      </c>
      <c r="I15" s="8">
        <f>14114.4/1.5</f>
        <v>9409.6</v>
      </c>
      <c r="J15" s="8">
        <f>14017.3/1.5</f>
        <v>9344.866666666667</v>
      </c>
      <c r="K15" s="8">
        <f>14172.3/1.5</f>
        <v>9448.199999999999</v>
      </c>
      <c r="L15" s="8">
        <f>14360/1.5</f>
        <v>9573.333333333334</v>
      </c>
      <c r="M15" s="8"/>
      <c r="N15" s="8"/>
      <c r="O15" s="8"/>
      <c r="P15" s="8"/>
      <c r="Q15" s="8"/>
      <c r="R15" s="8"/>
      <c r="S15" s="7"/>
      <c r="Z15" s="2"/>
      <c r="AA15" s="2"/>
      <c r="AB15" s="2"/>
      <c r="AC15" s="2"/>
      <c r="AF15" s="3"/>
      <c r="AL15" s="9"/>
      <c r="AO15" s="3"/>
      <c r="AP15" s="9"/>
      <c r="AQ15" s="9"/>
      <c r="AR15" s="9"/>
      <c r="AS15" s="9"/>
      <c r="AT15" s="9"/>
      <c r="AU15" s="9"/>
      <c r="AV15" s="9"/>
      <c r="AW15" s="9"/>
      <c r="AX15" s="9"/>
      <c r="AY15" s="9"/>
      <c r="BB15" s="3"/>
      <c r="BC15" s="9"/>
      <c r="BD15" s="9"/>
      <c r="BE15" s="9"/>
      <c r="BF15" s="9"/>
      <c r="BG15" s="9"/>
      <c r="BH15" s="9"/>
      <c r="BI15" s="2"/>
      <c r="BJ15" s="2"/>
      <c r="BK15" s="2"/>
      <c r="BL15" s="9"/>
      <c r="BO15" s="3"/>
      <c r="BS15" s="9"/>
      <c r="BT15" s="9"/>
      <c r="BU15" s="9"/>
    </row>
    <row r="16" spans="2:73" ht="12">
      <c r="B16" s="6" t="s">
        <v>10</v>
      </c>
      <c r="C16" s="8">
        <f>10457/1.5</f>
        <v>6971.333333333333</v>
      </c>
      <c r="D16" s="8">
        <f>11303/1.5</f>
        <v>7535.333333333333</v>
      </c>
      <c r="E16" s="8">
        <f>10823/1.5</f>
        <v>7215.333333333333</v>
      </c>
      <c r="F16" s="8">
        <f>11333/1.5</f>
        <v>7555.333333333333</v>
      </c>
      <c r="G16" s="8">
        <f>11244/1.5</f>
        <v>7496</v>
      </c>
      <c r="H16" s="8">
        <f>11039/1.5</f>
        <v>7359.333333333333</v>
      </c>
      <c r="I16" s="8">
        <f>11246/1.5</f>
        <v>7497.333333333333</v>
      </c>
      <c r="J16" s="8">
        <f>11506/1.5</f>
        <v>7670.666666666667</v>
      </c>
      <c r="K16" s="8">
        <f>11495/1.5</f>
        <v>7663.333333333333</v>
      </c>
      <c r="L16" s="8">
        <f>11260/1.5</f>
        <v>7506.666666666667</v>
      </c>
      <c r="M16" s="8"/>
      <c r="N16" s="8"/>
      <c r="O16" s="8"/>
      <c r="P16" s="8"/>
      <c r="Q16" s="8"/>
      <c r="R16" s="8"/>
      <c r="S16" s="7"/>
      <c r="Z16" s="2"/>
      <c r="AA16" s="2"/>
      <c r="AB16" s="2"/>
      <c r="AC16" s="2"/>
      <c r="AF16" s="3"/>
      <c r="AL16" s="9"/>
      <c r="AO16" s="3"/>
      <c r="AP16" s="9"/>
      <c r="AQ16" s="9"/>
      <c r="AR16" s="9"/>
      <c r="AS16" s="9"/>
      <c r="AT16" s="9"/>
      <c r="AU16" s="9"/>
      <c r="AV16" s="9"/>
      <c r="AW16" s="9"/>
      <c r="AX16" s="9"/>
      <c r="AY16" s="9"/>
      <c r="BB16" s="3"/>
      <c r="BC16" s="9"/>
      <c r="BD16" s="9"/>
      <c r="BE16" s="9"/>
      <c r="BF16" s="9"/>
      <c r="BG16" s="9"/>
      <c r="BH16" s="9"/>
      <c r="BI16" s="2"/>
      <c r="BJ16" s="2"/>
      <c r="BK16" s="2"/>
      <c r="BL16" s="9"/>
      <c r="BO16" s="3"/>
      <c r="BS16" s="9"/>
      <c r="BT16" s="9"/>
      <c r="BU16" s="9"/>
    </row>
    <row r="17" spans="2:73" ht="12">
      <c r="B17" s="6" t="s">
        <v>11</v>
      </c>
      <c r="C17" s="8">
        <f>689.6/1.5</f>
        <v>459.73333333333335</v>
      </c>
      <c r="D17" s="8">
        <f>738.9/1.5</f>
        <v>492.59999999999997</v>
      </c>
      <c r="E17" s="8">
        <f>740.6/1.5</f>
        <v>493.73333333333335</v>
      </c>
      <c r="F17" s="8">
        <f>888.2/1.5</f>
        <v>592.1333333333333</v>
      </c>
      <c r="G17" s="8">
        <f>816/1.5</f>
        <v>544</v>
      </c>
      <c r="H17" s="8">
        <f>783.2/1.5</f>
        <v>522.1333333333333</v>
      </c>
      <c r="I17" s="8">
        <f>807.4/1.5</f>
        <v>538.2666666666667</v>
      </c>
      <c r="J17" s="8">
        <f>810.2/1.5</f>
        <v>540.1333333333333</v>
      </c>
      <c r="K17" s="8">
        <f>837/1.5</f>
        <v>558</v>
      </c>
      <c r="L17" s="8">
        <f>816.8/1.5</f>
        <v>544.5333333333333</v>
      </c>
      <c r="M17" s="8"/>
      <c r="N17" s="8"/>
      <c r="O17" s="8"/>
      <c r="P17" s="8"/>
      <c r="Q17" s="8"/>
      <c r="R17" s="8"/>
      <c r="S17" s="7"/>
      <c r="Z17" s="2"/>
      <c r="AA17" s="2"/>
      <c r="AB17" s="2"/>
      <c r="AC17" s="2"/>
      <c r="AF17" s="3"/>
      <c r="AL17" s="9"/>
      <c r="AO17" s="3"/>
      <c r="AP17" s="9"/>
      <c r="AQ17" s="9"/>
      <c r="AR17" s="9"/>
      <c r="AS17" s="9"/>
      <c r="AT17" s="9"/>
      <c r="AU17" s="9"/>
      <c r="AV17" s="9"/>
      <c r="AW17" s="9"/>
      <c r="AX17" s="9"/>
      <c r="AY17" s="9"/>
      <c r="BB17" s="3"/>
      <c r="BC17" s="9"/>
      <c r="BD17" s="9"/>
      <c r="BE17" s="9"/>
      <c r="BF17" s="9"/>
      <c r="BG17" s="9"/>
      <c r="BH17" s="9"/>
      <c r="BI17" s="2"/>
      <c r="BJ17" s="2"/>
      <c r="BK17" s="2"/>
      <c r="BL17" s="9"/>
      <c r="BO17" s="3"/>
      <c r="BS17" s="9"/>
      <c r="BT17" s="9"/>
      <c r="BU17" s="9"/>
    </row>
    <row r="18" spans="2:73" ht="12">
      <c r="B18" s="6" t="s">
        <v>12</v>
      </c>
      <c r="C18" s="8">
        <f>745.5/1.5</f>
        <v>497</v>
      </c>
      <c r="D18" s="8">
        <f>739.2/1.5</f>
        <v>492.8</v>
      </c>
      <c r="E18" s="8">
        <f>833.2/1.5</f>
        <v>555.4666666666667</v>
      </c>
      <c r="F18" s="8">
        <f>913.9/1.5</f>
        <v>609.2666666666667</v>
      </c>
      <c r="G18" s="8">
        <f>907.1/1.5</f>
        <v>604.7333333333333</v>
      </c>
      <c r="H18" s="8">
        <f>877/1.5</f>
        <v>584.6666666666666</v>
      </c>
      <c r="I18" s="8">
        <f>927/1.5</f>
        <v>618</v>
      </c>
      <c r="J18" s="8">
        <f>932.4/1.5</f>
        <v>621.6</v>
      </c>
      <c r="K18" s="8">
        <f>902.9/1.5</f>
        <v>601.9333333333333</v>
      </c>
      <c r="L18" s="8">
        <f>870.7/1.5</f>
        <v>580.4666666666667</v>
      </c>
      <c r="M18" s="8"/>
      <c r="N18" s="8"/>
      <c r="O18" s="8"/>
      <c r="P18" s="8"/>
      <c r="Q18" s="8"/>
      <c r="R18" s="8"/>
      <c r="S18" s="7"/>
      <c r="Z18" s="2"/>
      <c r="AA18" s="2"/>
      <c r="AB18" s="2"/>
      <c r="AC18" s="2"/>
      <c r="AF18" s="3"/>
      <c r="AL18" s="9"/>
      <c r="AO18" s="3"/>
      <c r="AP18" s="9"/>
      <c r="AQ18" s="9"/>
      <c r="AR18" s="9"/>
      <c r="AS18" s="9"/>
      <c r="AT18" s="9"/>
      <c r="AU18" s="9"/>
      <c r="AV18" s="9"/>
      <c r="AW18" s="9"/>
      <c r="AX18" s="9"/>
      <c r="AY18" s="9"/>
      <c r="BB18" s="3"/>
      <c r="BC18" s="9"/>
      <c r="BD18" s="9"/>
      <c r="BE18" s="9"/>
      <c r="BF18" s="9"/>
      <c r="BG18" s="9"/>
      <c r="BH18" s="9"/>
      <c r="BI18" s="2"/>
      <c r="BJ18" s="2"/>
      <c r="BK18" s="2"/>
      <c r="BL18" s="9"/>
      <c r="BO18" s="3"/>
      <c r="BS18" s="9"/>
      <c r="BT18" s="9"/>
      <c r="BU18" s="9"/>
    </row>
    <row r="19" spans="2:73" ht="12">
      <c r="B19" s="6" t="s">
        <v>13</v>
      </c>
      <c r="C19" s="8">
        <f>15669.7/1.5</f>
        <v>10446.466666666667</v>
      </c>
      <c r="D19" s="8">
        <f>15640.8/1.5</f>
        <v>10427.199999999999</v>
      </c>
      <c r="E19" s="8">
        <f>15110.9/1.5</f>
        <v>10073.933333333332</v>
      </c>
      <c r="F19" s="8">
        <f>14586.9/1.5</f>
        <v>9724.6</v>
      </c>
      <c r="G19" s="8">
        <f>14413.5/1.5</f>
        <v>9609</v>
      </c>
      <c r="H19" s="8">
        <f>14139/1.5</f>
        <v>9426</v>
      </c>
      <c r="I19" s="8">
        <f>14161.6/1.5</f>
        <v>9441.066666666668</v>
      </c>
      <c r="J19" s="8">
        <f>14121.7/1.5</f>
        <v>9414.466666666667</v>
      </c>
      <c r="K19" s="8">
        <f>13956.5/1.5</f>
        <v>9304.333333333334</v>
      </c>
      <c r="L19" s="8">
        <f>14052/1.5</f>
        <v>9368</v>
      </c>
      <c r="M19" s="8"/>
      <c r="N19" s="8"/>
      <c r="O19" s="8"/>
      <c r="P19" s="8"/>
      <c r="Q19" s="8"/>
      <c r="R19" s="8"/>
      <c r="S19" s="7"/>
      <c r="Z19" s="2"/>
      <c r="AA19" s="2"/>
      <c r="AB19" s="2"/>
      <c r="AC19" s="2"/>
      <c r="AF19" s="3"/>
      <c r="AL19" s="9"/>
      <c r="AO19" s="3"/>
      <c r="AP19" s="9"/>
      <c r="AQ19" s="9"/>
      <c r="AR19" s="9"/>
      <c r="AS19" s="9"/>
      <c r="AT19" s="9"/>
      <c r="AU19" s="9"/>
      <c r="AV19" s="9"/>
      <c r="AW19" s="9"/>
      <c r="AX19" s="9"/>
      <c r="AY19" s="9"/>
      <c r="BB19" s="3"/>
      <c r="BC19" s="9"/>
      <c r="BD19" s="9"/>
      <c r="BE19" s="9"/>
      <c r="BF19" s="9"/>
      <c r="BG19" s="9"/>
      <c r="BH19" s="9"/>
      <c r="BI19" s="2"/>
      <c r="BJ19" s="2"/>
      <c r="BK19" s="2"/>
      <c r="BL19" s="9"/>
      <c r="BO19" s="3"/>
      <c r="BS19" s="9"/>
      <c r="BT19" s="9"/>
      <c r="BU19" s="9"/>
    </row>
    <row r="20" spans="2:73" ht="12">
      <c r="B20" s="6" t="s">
        <v>14</v>
      </c>
      <c r="C20" s="8">
        <f>6002/1.5</f>
        <v>4001.3333333333335</v>
      </c>
      <c r="D20" s="8">
        <f>5938/1.5</f>
        <v>3958.6666666666665</v>
      </c>
      <c r="E20" s="8">
        <f>5801/1.5</f>
        <v>3867.3333333333335</v>
      </c>
      <c r="F20" s="8">
        <f>5967/1.5</f>
        <v>3978</v>
      </c>
      <c r="G20" s="8">
        <f>5711/1.5</f>
        <v>3807.3333333333335</v>
      </c>
      <c r="H20" s="8">
        <f>5584/1.5</f>
        <v>3722.6666666666665</v>
      </c>
      <c r="I20" s="8">
        <f>5458/1.8</f>
        <v>3032.222222222222</v>
      </c>
      <c r="J20" s="8">
        <f>5575/1.5</f>
        <v>3716.6666666666665</v>
      </c>
      <c r="K20" s="8">
        <f>5403/1.5</f>
        <v>3602</v>
      </c>
      <c r="L20" s="8">
        <f>5437/1.5</f>
        <v>3624.6666666666665</v>
      </c>
      <c r="M20" s="8"/>
      <c r="N20" s="8"/>
      <c r="O20" s="8"/>
      <c r="P20" s="8"/>
      <c r="Q20" s="8"/>
      <c r="R20" s="8"/>
      <c r="S20" s="7"/>
      <c r="Z20" s="2"/>
      <c r="AA20" s="2"/>
      <c r="AB20" s="2"/>
      <c r="AC20" s="2"/>
      <c r="AF20" s="3"/>
      <c r="AL20" s="9"/>
      <c r="AO20" s="3"/>
      <c r="AP20" s="9"/>
      <c r="AQ20" s="9"/>
      <c r="AR20" s="9"/>
      <c r="AS20" s="9"/>
      <c r="AT20" s="9"/>
      <c r="AU20" s="9"/>
      <c r="AV20" s="9"/>
      <c r="AW20" s="9"/>
      <c r="AX20" s="9"/>
      <c r="AY20" s="9"/>
      <c r="BB20" s="3"/>
      <c r="BC20" s="9"/>
      <c r="BD20" s="9"/>
      <c r="BE20" s="9"/>
      <c r="BF20" s="9"/>
      <c r="BG20" s="9"/>
      <c r="BH20" s="9"/>
      <c r="BI20" s="2"/>
      <c r="BJ20" s="2"/>
      <c r="BK20" s="2"/>
      <c r="BL20" s="9"/>
      <c r="BO20" s="3"/>
      <c r="BS20" s="9"/>
      <c r="BT20" s="9"/>
      <c r="BU20" s="9"/>
    </row>
    <row r="21" spans="3:73" ht="1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AL21" s="9"/>
      <c r="BL21" s="9"/>
      <c r="BS21" s="9"/>
      <c r="BT21" s="9"/>
      <c r="BU21" s="9"/>
    </row>
    <row r="22" spans="1:73" ht="12">
      <c r="A22" s="6" t="s">
        <v>15</v>
      </c>
      <c r="C22" s="7">
        <f aca="true" t="shared" si="2" ref="C22:L22">SUM(C23:C28)</f>
        <v>15737.199999999999</v>
      </c>
      <c r="D22" s="7">
        <f t="shared" si="2"/>
        <v>16072.399999999998</v>
      </c>
      <c r="E22" s="7">
        <f t="shared" si="2"/>
        <v>16170.26666666667</v>
      </c>
      <c r="F22" s="7">
        <f t="shared" si="2"/>
        <v>17953.6</v>
      </c>
      <c r="G22" s="7">
        <f t="shared" si="2"/>
        <v>17598.13333333333</v>
      </c>
      <c r="H22" s="7">
        <f t="shared" si="2"/>
        <v>15607.866666666667</v>
      </c>
      <c r="I22" s="7">
        <f t="shared" si="2"/>
        <v>15597.066666666668</v>
      </c>
      <c r="J22" s="7">
        <f t="shared" si="2"/>
        <v>15968.533333333333</v>
      </c>
      <c r="K22" s="7">
        <f t="shared" si="2"/>
        <v>15657.199999999999</v>
      </c>
      <c r="L22" s="7">
        <f t="shared" si="2"/>
        <v>15449.333333333336</v>
      </c>
      <c r="M22" s="7"/>
      <c r="N22" s="7"/>
      <c r="O22" s="7"/>
      <c r="P22" s="7"/>
      <c r="Q22" s="8"/>
      <c r="R22" s="7"/>
      <c r="S22" s="8"/>
      <c r="T22" s="2"/>
      <c r="U22" s="2"/>
      <c r="V22" s="2"/>
      <c r="W22" s="2"/>
      <c r="X22" s="2"/>
      <c r="Y22" s="2"/>
      <c r="Z22" s="2"/>
      <c r="AA22" s="2"/>
      <c r="AB22" s="2"/>
      <c r="AC22" s="2"/>
      <c r="AE22" s="3"/>
      <c r="AG22" s="2"/>
      <c r="AH22" s="2"/>
      <c r="AI22" s="2"/>
      <c r="AJ22" s="2"/>
      <c r="AK22" s="2"/>
      <c r="AL22" s="9"/>
      <c r="AN22" s="3"/>
      <c r="AP22" s="2"/>
      <c r="AQ22" s="2"/>
      <c r="AR22" s="2"/>
      <c r="AS22" s="2"/>
      <c r="AT22" s="2"/>
      <c r="AU22" s="2"/>
      <c r="AV22" s="2"/>
      <c r="AW22" s="2"/>
      <c r="AX22" s="2"/>
      <c r="AY22" s="2"/>
      <c r="BA22" s="3"/>
      <c r="BC22" s="2"/>
      <c r="BD22" s="2"/>
      <c r="BE22" s="2"/>
      <c r="BF22" s="2"/>
      <c r="BG22" s="2"/>
      <c r="BH22" s="2"/>
      <c r="BI22" s="2"/>
      <c r="BJ22" s="2"/>
      <c r="BK22" s="2"/>
      <c r="BL22" s="2"/>
      <c r="BN22" s="3"/>
      <c r="BP22" s="2"/>
      <c r="BQ22" s="2"/>
      <c r="BR22" s="2"/>
      <c r="BS22" s="2"/>
      <c r="BT22" s="2"/>
      <c r="BU22" s="2"/>
    </row>
    <row r="23" spans="2:73" ht="12">
      <c r="B23" s="6" t="s">
        <v>16</v>
      </c>
      <c r="C23" s="8">
        <f>7168.7/1.5</f>
        <v>4779.133333333333</v>
      </c>
      <c r="D23" s="8">
        <f>7270.2/1.5</f>
        <v>4846.8</v>
      </c>
      <c r="E23" s="8">
        <f>7322.3/1.5</f>
        <v>4881.533333333334</v>
      </c>
      <c r="F23" s="8">
        <f>7374.1/1.5</f>
        <v>4916.066666666667</v>
      </c>
      <c r="G23" s="8">
        <f>7010.9/1.5</f>
        <v>4673.933333333333</v>
      </c>
      <c r="H23" s="8">
        <f>6800.7/1.5</f>
        <v>4533.8</v>
      </c>
      <c r="I23" s="8">
        <f>6852.3/1.5</f>
        <v>4568.2</v>
      </c>
      <c r="J23" s="8">
        <f>6991.9/1.5</f>
        <v>4661.266666666666</v>
      </c>
      <c r="K23" s="8">
        <f>6652.6/1.5</f>
        <v>4435.066666666667</v>
      </c>
      <c r="L23" s="8">
        <f>6566.3/1.5</f>
        <v>4377.533333333334</v>
      </c>
      <c r="M23" s="8"/>
      <c r="N23" s="8"/>
      <c r="O23" s="8"/>
      <c r="P23" s="8"/>
      <c r="Q23" s="8"/>
      <c r="R23" s="8"/>
      <c r="S23" s="7"/>
      <c r="Z23" s="2"/>
      <c r="AA23" s="2"/>
      <c r="AB23" s="2"/>
      <c r="AC23" s="2"/>
      <c r="AF23" s="3"/>
      <c r="AL23" s="9"/>
      <c r="AO23" s="3"/>
      <c r="AP23" s="9"/>
      <c r="AQ23" s="9"/>
      <c r="AR23" s="9"/>
      <c r="AS23" s="9"/>
      <c r="AT23" s="9"/>
      <c r="AU23" s="9"/>
      <c r="AV23" s="9"/>
      <c r="AW23" s="9"/>
      <c r="AX23" s="9"/>
      <c r="AY23" s="9"/>
      <c r="BB23" s="3"/>
      <c r="BC23" s="9"/>
      <c r="BD23" s="9"/>
      <c r="BE23" s="9"/>
      <c r="BF23" s="9"/>
      <c r="BG23" s="9"/>
      <c r="BH23" s="9"/>
      <c r="BI23" s="2"/>
      <c r="BJ23" s="2"/>
      <c r="BK23" s="2"/>
      <c r="BL23" s="9"/>
      <c r="BO23" s="3"/>
      <c r="BS23" s="9"/>
      <c r="BT23" s="9"/>
      <c r="BU23" s="9"/>
    </row>
    <row r="24" spans="2:73" ht="12">
      <c r="B24" s="6" t="s">
        <v>17</v>
      </c>
      <c r="C24" s="8">
        <f>4585/1.5</f>
        <v>3056.6666666666665</v>
      </c>
      <c r="D24" s="8">
        <f>4695.3/1.5</f>
        <v>3130.2000000000003</v>
      </c>
      <c r="E24" s="8">
        <f>4723.3/1.5</f>
        <v>3148.866666666667</v>
      </c>
      <c r="F24" s="8">
        <v>4893.6</v>
      </c>
      <c r="G24" s="8">
        <v>4749.6</v>
      </c>
      <c r="H24" s="8">
        <f>4678.8/1.5</f>
        <v>3119.2000000000003</v>
      </c>
      <c r="I24" s="8">
        <f>4671.9/1.5</f>
        <v>3114.6</v>
      </c>
      <c r="J24" s="8">
        <f>4781.8/1.5</f>
        <v>3187.866666666667</v>
      </c>
      <c r="K24" s="8">
        <f>4699.4/1.5</f>
        <v>3132.933333333333</v>
      </c>
      <c r="L24" s="8">
        <f>4668/1.5</f>
        <v>3112</v>
      </c>
      <c r="M24" s="8"/>
      <c r="N24" s="8"/>
      <c r="O24" s="8"/>
      <c r="P24" s="8"/>
      <c r="Q24" s="8"/>
      <c r="R24" s="8"/>
      <c r="S24" s="7"/>
      <c r="Z24" s="2"/>
      <c r="AA24" s="2"/>
      <c r="AB24" s="2"/>
      <c r="AC24" s="2"/>
      <c r="AF24" s="3"/>
      <c r="AL24" s="9"/>
      <c r="AO24" s="3"/>
      <c r="AP24" s="9"/>
      <c r="AQ24" s="9"/>
      <c r="AR24" s="9"/>
      <c r="AS24" s="9"/>
      <c r="AT24" s="9"/>
      <c r="AU24" s="9"/>
      <c r="AV24" s="9"/>
      <c r="AW24" s="9"/>
      <c r="AX24" s="9"/>
      <c r="AY24" s="9"/>
      <c r="BB24" s="3"/>
      <c r="BC24" s="9"/>
      <c r="BD24" s="9"/>
      <c r="BE24" s="9"/>
      <c r="BF24" s="9"/>
      <c r="BG24" s="9"/>
      <c r="BH24" s="9"/>
      <c r="BI24" s="2"/>
      <c r="BJ24" s="2"/>
      <c r="BK24" s="2"/>
      <c r="BL24" s="9"/>
      <c r="BO24" s="3"/>
      <c r="BS24" s="9"/>
      <c r="BT24" s="9"/>
      <c r="BU24" s="9"/>
    </row>
    <row r="25" spans="2:73" ht="12">
      <c r="B25" s="6" t="s">
        <v>18</v>
      </c>
      <c r="C25" s="8">
        <f>7074.3/1.5</f>
        <v>4716.2</v>
      </c>
      <c r="D25" s="8">
        <f>7175.4/1.5</f>
        <v>4783.599999999999</v>
      </c>
      <c r="E25" s="8">
        <f>7063.5/1.5</f>
        <v>4709</v>
      </c>
      <c r="F25" s="8">
        <f>6740.4/1.5</f>
        <v>4493.599999999999</v>
      </c>
      <c r="G25" s="8">
        <f>6727.2/1.5</f>
        <v>4484.8</v>
      </c>
      <c r="H25" s="8">
        <f>6651.4/1.5</f>
        <v>4434.266666666666</v>
      </c>
      <c r="I25" s="8">
        <f>6686.2/1.5</f>
        <v>4457.466666666666</v>
      </c>
      <c r="J25" s="8">
        <f>6801.9/1.5</f>
        <v>4534.599999999999</v>
      </c>
      <c r="K25" s="8">
        <f>6765.7/1.5</f>
        <v>4510.466666666666</v>
      </c>
      <c r="L25" s="8">
        <f>6661.7/1.5</f>
        <v>4441.133333333333</v>
      </c>
      <c r="M25" s="8"/>
      <c r="N25" s="8"/>
      <c r="O25" s="8"/>
      <c r="P25" s="8"/>
      <c r="Q25" s="8"/>
      <c r="R25" s="8"/>
      <c r="S25" s="7"/>
      <c r="Z25" s="2"/>
      <c r="AA25" s="2"/>
      <c r="AB25" s="2"/>
      <c r="AC25" s="2"/>
      <c r="AF25" s="3"/>
      <c r="AL25" s="9"/>
      <c r="AO25" s="3"/>
      <c r="AP25" s="9"/>
      <c r="AQ25" s="9"/>
      <c r="AR25" s="9"/>
      <c r="AS25" s="9"/>
      <c r="AT25" s="9"/>
      <c r="AU25" s="9"/>
      <c r="AV25" s="9"/>
      <c r="AW25" s="9"/>
      <c r="AX25" s="9"/>
      <c r="AY25" s="9"/>
      <c r="BB25" s="3"/>
      <c r="BC25" s="9"/>
      <c r="BD25" s="9"/>
      <c r="BE25" s="9"/>
      <c r="BF25" s="9"/>
      <c r="BG25" s="9"/>
      <c r="BH25" s="9"/>
      <c r="BI25" s="2"/>
      <c r="BJ25" s="2"/>
      <c r="BK25" s="2"/>
      <c r="BL25" s="9"/>
      <c r="BO25" s="3"/>
      <c r="BS25" s="9"/>
      <c r="BT25" s="9"/>
      <c r="BU25" s="9"/>
    </row>
    <row r="26" spans="2:73" ht="12">
      <c r="B26" s="6" t="s">
        <v>19</v>
      </c>
      <c r="C26" s="8">
        <f>1063.6/1.5</f>
        <v>709.0666666666666</v>
      </c>
      <c r="D26" s="8">
        <f>1128.9/1.5</f>
        <v>752.6</v>
      </c>
      <c r="E26" s="8">
        <f>1157.9/1.5</f>
        <v>771.9333333333334</v>
      </c>
      <c r="F26" s="8">
        <f>1213.5/1.5</f>
        <v>809</v>
      </c>
      <c r="G26" s="8">
        <f>1189.6/1.5</f>
        <v>793.0666666666666</v>
      </c>
      <c r="H26" s="8">
        <f>1128.9/1.5</f>
        <v>752.6</v>
      </c>
      <c r="I26" s="8">
        <f>1121.4/1.5</f>
        <v>747.6</v>
      </c>
      <c r="J26" s="8">
        <f>1154.7/1.5</f>
        <v>769.8000000000001</v>
      </c>
      <c r="K26" s="8">
        <f>1149.4/1.5</f>
        <v>766.2666666666668</v>
      </c>
      <c r="L26" s="8">
        <f>1179.3/1.5</f>
        <v>786.1999999999999</v>
      </c>
      <c r="M26" s="8"/>
      <c r="N26" s="8"/>
      <c r="O26" s="8"/>
      <c r="P26" s="8"/>
      <c r="Q26" s="8"/>
      <c r="R26" s="8"/>
      <c r="S26" s="7"/>
      <c r="Z26" s="2"/>
      <c r="AA26" s="2"/>
      <c r="AB26" s="2"/>
      <c r="AC26" s="2"/>
      <c r="AF26" s="3"/>
      <c r="AL26" s="9"/>
      <c r="AO26" s="3"/>
      <c r="AP26" s="9"/>
      <c r="AQ26" s="9"/>
      <c r="AR26" s="9"/>
      <c r="AS26" s="9"/>
      <c r="AT26" s="9"/>
      <c r="AU26" s="9"/>
      <c r="AV26" s="9"/>
      <c r="AW26" s="9"/>
      <c r="AX26" s="9"/>
      <c r="AY26" s="9"/>
      <c r="BB26" s="3"/>
      <c r="BC26" s="9"/>
      <c r="BD26" s="9"/>
      <c r="BE26" s="9"/>
      <c r="BF26" s="9"/>
      <c r="BG26" s="9"/>
      <c r="BH26" s="9"/>
      <c r="BI26" s="2"/>
      <c r="BJ26" s="2"/>
      <c r="BK26" s="2"/>
      <c r="BL26" s="9"/>
      <c r="BO26" s="3"/>
      <c r="BS26" s="9"/>
      <c r="BT26" s="9"/>
      <c r="BU26" s="9"/>
    </row>
    <row r="27" spans="2:73" ht="12">
      <c r="B27" s="6" t="s">
        <v>20</v>
      </c>
      <c r="C27" s="8">
        <f>3083.4/1.5</f>
        <v>2055.6</v>
      </c>
      <c r="D27" s="8">
        <f>3199.2/1.5</f>
        <v>2132.7999999999997</v>
      </c>
      <c r="E27" s="8">
        <f>3336.5/1.5</f>
        <v>2224.3333333333335</v>
      </c>
      <c r="F27" s="8">
        <f>3599.7/1.5</f>
        <v>2399.7999999999997</v>
      </c>
      <c r="G27" s="8">
        <f>3674.3/1.5</f>
        <v>2449.5333333333333</v>
      </c>
      <c r="H27" s="8">
        <f>3495.2/1.5</f>
        <v>2330.133333333333</v>
      </c>
      <c r="I27" s="8">
        <f>3393/1.5</f>
        <v>2262</v>
      </c>
      <c r="J27" s="8">
        <f>3546.7/1.5</f>
        <v>2364.4666666666667</v>
      </c>
      <c r="K27" s="8">
        <f>3555.1/1.5</f>
        <v>2370.0666666666666</v>
      </c>
      <c r="L27" s="8">
        <f>3443.4/1.5</f>
        <v>2295.6</v>
      </c>
      <c r="M27" s="8"/>
      <c r="N27" s="8"/>
      <c r="O27" s="8"/>
      <c r="P27" s="8"/>
      <c r="Q27" s="8"/>
      <c r="R27" s="8"/>
      <c r="S27" s="7"/>
      <c r="Z27" s="2"/>
      <c r="AA27" s="2"/>
      <c r="AB27" s="2"/>
      <c r="AC27" s="2"/>
      <c r="AF27" s="3"/>
      <c r="AL27" s="9"/>
      <c r="AO27" s="3"/>
      <c r="AP27" s="9"/>
      <c r="AQ27" s="9"/>
      <c r="AR27" s="9"/>
      <c r="AS27" s="9"/>
      <c r="AT27" s="9"/>
      <c r="AU27" s="9"/>
      <c r="AV27" s="9"/>
      <c r="AW27" s="9"/>
      <c r="AX27" s="9"/>
      <c r="AY27" s="9"/>
      <c r="BB27" s="3"/>
      <c r="BC27" s="9"/>
      <c r="BD27" s="9"/>
      <c r="BE27" s="9"/>
      <c r="BF27" s="9"/>
      <c r="BG27" s="9"/>
      <c r="BH27" s="9"/>
      <c r="BI27" s="2"/>
      <c r="BJ27" s="2"/>
      <c r="BK27" s="2"/>
      <c r="BL27" s="9"/>
      <c r="BO27" s="3"/>
      <c r="BS27" s="9"/>
      <c r="BT27" s="9"/>
      <c r="BU27" s="9"/>
    </row>
    <row r="28" spans="2:73" ht="12">
      <c r="B28" s="6" t="s">
        <v>21</v>
      </c>
      <c r="C28" s="8">
        <f>630.8/1.5</f>
        <v>420.5333333333333</v>
      </c>
      <c r="D28" s="8">
        <f>639.6/1.5</f>
        <v>426.40000000000003</v>
      </c>
      <c r="E28" s="8">
        <f>651.9/1.5</f>
        <v>434.59999999999997</v>
      </c>
      <c r="F28" s="8">
        <f>662.3/1.5</f>
        <v>441.5333333333333</v>
      </c>
      <c r="G28" s="8">
        <f>670.8/1.5</f>
        <v>447.2</v>
      </c>
      <c r="H28" s="8">
        <f>656.8/1.5</f>
        <v>437.8666666666666</v>
      </c>
      <c r="I28" s="8">
        <f>670.8/1.5</f>
        <v>447.2</v>
      </c>
      <c r="J28" s="8">
        <f>675.8/1.5</f>
        <v>450.5333333333333</v>
      </c>
      <c r="K28" s="8">
        <f>663.6/1.5</f>
        <v>442.40000000000003</v>
      </c>
      <c r="L28" s="8">
        <f>655.3/1.5</f>
        <v>436.8666666666666</v>
      </c>
      <c r="M28" s="8"/>
      <c r="N28" s="8"/>
      <c r="O28" s="8"/>
      <c r="P28" s="8"/>
      <c r="Q28" s="8"/>
      <c r="R28" s="8"/>
      <c r="S28" s="7"/>
      <c r="Z28" s="2"/>
      <c r="AA28" s="2"/>
      <c r="AB28" s="2"/>
      <c r="AC28" s="2"/>
      <c r="AF28" s="3"/>
      <c r="AL28" s="9"/>
      <c r="AO28" s="3"/>
      <c r="AP28" s="9"/>
      <c r="AQ28" s="9"/>
      <c r="AR28" s="9"/>
      <c r="AS28" s="9"/>
      <c r="AT28" s="9"/>
      <c r="AU28" s="9"/>
      <c r="AV28" s="9"/>
      <c r="AW28" s="9"/>
      <c r="AX28" s="9"/>
      <c r="AY28" s="9"/>
      <c r="BB28" s="3"/>
      <c r="BC28" s="9"/>
      <c r="BD28" s="9"/>
      <c r="BE28" s="9"/>
      <c r="BF28" s="9"/>
      <c r="BG28" s="9"/>
      <c r="BH28" s="9"/>
      <c r="BI28" s="2"/>
      <c r="BJ28" s="2"/>
      <c r="BK28" s="2"/>
      <c r="BL28" s="9"/>
      <c r="BO28" s="3"/>
      <c r="BS28" s="9"/>
      <c r="BT28" s="9"/>
      <c r="BU28" s="9"/>
    </row>
    <row r="29" spans="3:73" ht="1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AL29" s="9"/>
      <c r="BL29" s="9"/>
      <c r="BS29" s="9"/>
      <c r="BT29" s="9"/>
      <c r="BU29" s="9"/>
    </row>
    <row r="30" spans="1:73" ht="12">
      <c r="A30" s="6" t="s">
        <v>22</v>
      </c>
      <c r="C30" s="7">
        <f aca="true" t="shared" si="3" ref="C30:L30">SUM(C31:C34)</f>
        <v>17014.8</v>
      </c>
      <c r="D30" s="7">
        <f t="shared" si="3"/>
        <v>16473.86666666667</v>
      </c>
      <c r="E30" s="7">
        <f t="shared" si="3"/>
        <v>16119.533333333333</v>
      </c>
      <c r="F30" s="7">
        <f t="shared" si="3"/>
        <v>15882.133333333333</v>
      </c>
      <c r="G30" s="7">
        <f t="shared" si="3"/>
        <v>15776</v>
      </c>
      <c r="H30" s="7">
        <f t="shared" si="3"/>
        <v>15626.533333333333</v>
      </c>
      <c r="I30" s="7">
        <f t="shared" si="3"/>
        <v>15822.333333333332</v>
      </c>
      <c r="J30" s="7">
        <f t="shared" si="3"/>
        <v>16196.6</v>
      </c>
      <c r="K30" s="7">
        <f t="shared" si="3"/>
        <v>16582.6</v>
      </c>
      <c r="L30" s="7">
        <f t="shared" si="3"/>
        <v>16820.2</v>
      </c>
      <c r="M30" s="7"/>
      <c r="N30" s="7"/>
      <c r="O30" s="7"/>
      <c r="P30" s="7"/>
      <c r="Q30" s="8"/>
      <c r="R30" s="7"/>
      <c r="S30" s="8"/>
      <c r="T30" s="2"/>
      <c r="U30" s="2"/>
      <c r="V30" s="2"/>
      <c r="W30" s="2"/>
      <c r="X30" s="2"/>
      <c r="Y30" s="2"/>
      <c r="Z30" s="2"/>
      <c r="AA30" s="2"/>
      <c r="AB30" s="2"/>
      <c r="AC30" s="2"/>
      <c r="AE30" s="3"/>
      <c r="AG30" s="2"/>
      <c r="AH30" s="2"/>
      <c r="AI30" s="2"/>
      <c r="AJ30" s="2"/>
      <c r="AK30" s="2"/>
      <c r="AL30" s="9"/>
      <c r="AN30" s="3"/>
      <c r="AP30" s="2"/>
      <c r="AQ30" s="2"/>
      <c r="AR30" s="2"/>
      <c r="AS30" s="2"/>
      <c r="AT30" s="2"/>
      <c r="AU30" s="2"/>
      <c r="AV30" s="2"/>
      <c r="AW30" s="2"/>
      <c r="AX30" s="2"/>
      <c r="AY30" s="2"/>
      <c r="BA30" s="3"/>
      <c r="BC30" s="2"/>
      <c r="BD30" s="2"/>
      <c r="BE30" s="2"/>
      <c r="BF30" s="2"/>
      <c r="BG30" s="2"/>
      <c r="BH30" s="2"/>
      <c r="BI30" s="2"/>
      <c r="BJ30" s="2"/>
      <c r="BK30" s="2"/>
      <c r="BL30" s="2"/>
      <c r="BN30" s="3"/>
      <c r="BP30" s="2"/>
      <c r="BQ30" s="2"/>
      <c r="BR30" s="2"/>
      <c r="BS30" s="2"/>
      <c r="BT30" s="2"/>
      <c r="BU30" s="2"/>
    </row>
    <row r="31" spans="2:73" ht="12">
      <c r="B31" s="6" t="s">
        <v>23</v>
      </c>
      <c r="C31" s="8">
        <f>4568/1.5</f>
        <v>3045.3333333333335</v>
      </c>
      <c r="D31" s="8">
        <f>4518.9/1.5</f>
        <v>3012.6</v>
      </c>
      <c r="E31" s="8">
        <f>4464/1.5</f>
        <v>2976</v>
      </c>
      <c r="F31" s="8">
        <f>4487.6/1.5</f>
        <v>2991.7333333333336</v>
      </c>
      <c r="G31" s="8">
        <f>4509/1.5</f>
        <v>3006</v>
      </c>
      <c r="H31" s="8">
        <f>4558.9/1.5</f>
        <v>3039.2666666666664</v>
      </c>
      <c r="I31" s="8">
        <f>4680.9/1.5</f>
        <v>3120.6</v>
      </c>
      <c r="J31" s="8">
        <f>4804.9/1.5</f>
        <v>3203.2666666666664</v>
      </c>
      <c r="K31" s="8">
        <f>4925.8/1.5</f>
        <v>3283.866666666667</v>
      </c>
      <c r="L31" s="8">
        <f>5086.3/1.5</f>
        <v>3390.866666666667</v>
      </c>
      <c r="M31" s="8"/>
      <c r="N31" s="8"/>
      <c r="O31" s="8"/>
      <c r="P31" s="8"/>
      <c r="Q31" s="8"/>
      <c r="R31" s="8"/>
      <c r="S31" s="7"/>
      <c r="Z31" s="2"/>
      <c r="AA31" s="2"/>
      <c r="AB31" s="2"/>
      <c r="AC31" s="2"/>
      <c r="AF31" s="3"/>
      <c r="AL31" s="9"/>
      <c r="AO31" s="3"/>
      <c r="AP31" s="9"/>
      <c r="AQ31" s="9"/>
      <c r="AR31" s="9"/>
      <c r="AS31" s="9"/>
      <c r="AT31" s="9"/>
      <c r="AU31" s="9"/>
      <c r="AV31" s="9"/>
      <c r="AW31" s="9"/>
      <c r="AX31" s="9"/>
      <c r="AY31" s="9"/>
      <c r="BB31" s="3"/>
      <c r="BC31" s="9"/>
      <c r="BD31" s="9"/>
      <c r="BE31" s="9"/>
      <c r="BF31" s="9"/>
      <c r="BG31" s="9"/>
      <c r="BH31" s="9"/>
      <c r="BI31" s="2"/>
      <c r="BJ31" s="2"/>
      <c r="BK31" s="2"/>
      <c r="BL31" s="9"/>
      <c r="BO31" s="3"/>
      <c r="BS31" s="9"/>
      <c r="BT31" s="9"/>
      <c r="BU31" s="9"/>
    </row>
    <row r="32" spans="2:73" ht="12">
      <c r="B32" s="6" t="s">
        <v>24</v>
      </c>
      <c r="C32" s="8">
        <f>10609.6/1.5</f>
        <v>7073.066666666667</v>
      </c>
      <c r="D32" s="8">
        <f>9741.7/1.5</f>
        <v>6494.466666666667</v>
      </c>
      <c r="E32" s="8">
        <f>9317/1.5</f>
        <v>6211.333333333333</v>
      </c>
      <c r="F32" s="8">
        <f>9060.3/1.5</f>
        <v>6040.2</v>
      </c>
      <c r="G32" s="8">
        <f>9045.7/1.5</f>
        <v>6030.466666666667</v>
      </c>
      <c r="H32" s="8">
        <f>8920.1/1.5</f>
        <v>5946.733333333334</v>
      </c>
      <c r="I32" s="8">
        <f>9204.4/1.5</f>
        <v>6136.266666666666</v>
      </c>
      <c r="J32" s="8">
        <f>9366.8/1.5</f>
        <v>6244.533333333333</v>
      </c>
      <c r="K32" s="8">
        <f>9694.2/1.5</f>
        <v>6462.8</v>
      </c>
      <c r="L32" s="8">
        <f>9823.9/1.5</f>
        <v>6549.266666666666</v>
      </c>
      <c r="M32" s="8"/>
      <c r="N32" s="8"/>
      <c r="O32" s="8"/>
      <c r="P32" s="8"/>
      <c r="Q32" s="8"/>
      <c r="R32" s="8"/>
      <c r="S32" s="7"/>
      <c r="Z32" s="2"/>
      <c r="AA32" s="2"/>
      <c r="AB32" s="2"/>
      <c r="AC32" s="2"/>
      <c r="AF32" s="3"/>
      <c r="AL32" s="9"/>
      <c r="AO32" s="3"/>
      <c r="AP32" s="9"/>
      <c r="AQ32" s="9"/>
      <c r="AR32" s="9"/>
      <c r="AS32" s="9"/>
      <c r="AT32" s="9"/>
      <c r="AU32" s="9"/>
      <c r="AV32" s="9"/>
      <c r="AW32" s="9"/>
      <c r="AX32" s="9"/>
      <c r="AY32" s="9"/>
      <c r="BB32" s="3"/>
      <c r="BC32" s="9"/>
      <c r="BD32" s="9"/>
      <c r="BE32" s="9"/>
      <c r="BF32" s="9"/>
      <c r="BG32" s="9"/>
      <c r="BH32" s="9"/>
      <c r="BI32" s="2"/>
      <c r="BJ32" s="2"/>
      <c r="BK32" s="2"/>
      <c r="BL32" s="9"/>
      <c r="BO32" s="3"/>
      <c r="BS32" s="9"/>
      <c r="BT32" s="9"/>
      <c r="BU32" s="9"/>
    </row>
    <row r="33" spans="2:73" ht="12">
      <c r="B33" s="6" t="s">
        <v>25</v>
      </c>
      <c r="C33" s="8">
        <f>632.5/1.5</f>
        <v>421.6666666666667</v>
      </c>
      <c r="D33" s="8">
        <f>617.4/1.5</f>
        <v>411.59999999999997</v>
      </c>
      <c r="E33" s="8">
        <f>667.9/1.5</f>
        <v>445.26666666666665</v>
      </c>
      <c r="F33" s="8">
        <f>685.4/1.5</f>
        <v>456.93333333333334</v>
      </c>
      <c r="G33" s="8">
        <f>664.1/1.5</f>
        <v>442.73333333333335</v>
      </c>
      <c r="H33" s="8">
        <f>678/1.5</f>
        <v>452</v>
      </c>
      <c r="I33" s="8">
        <f>734.4/1.5</f>
        <v>489.59999999999997</v>
      </c>
      <c r="J33" s="8">
        <f>783.1/1.5</f>
        <v>522.0666666666667</v>
      </c>
      <c r="K33" s="8">
        <f>806.9/1.5</f>
        <v>537.9333333333333</v>
      </c>
      <c r="L33" s="8">
        <f>812.5/1.5</f>
        <v>541.6666666666666</v>
      </c>
      <c r="M33" s="8"/>
      <c r="N33" s="8"/>
      <c r="O33" s="8"/>
      <c r="P33" s="8"/>
      <c r="Q33" s="8"/>
      <c r="R33" s="8"/>
      <c r="S33" s="7"/>
      <c r="Z33" s="2"/>
      <c r="AA33" s="2"/>
      <c r="AB33" s="2"/>
      <c r="AC33" s="2"/>
      <c r="AF33" s="3"/>
      <c r="AL33" s="9"/>
      <c r="AO33" s="3"/>
      <c r="AP33" s="9"/>
      <c r="AQ33" s="9"/>
      <c r="AR33" s="9"/>
      <c r="AS33" s="9"/>
      <c r="AT33" s="9"/>
      <c r="AU33" s="9"/>
      <c r="AV33" s="9"/>
      <c r="AW33" s="9"/>
      <c r="AX33" s="9"/>
      <c r="AY33" s="9"/>
      <c r="BB33" s="3"/>
      <c r="BC33" s="9"/>
      <c r="BD33" s="9"/>
      <c r="BE33" s="9"/>
      <c r="BF33" s="9"/>
      <c r="BG33" s="9"/>
      <c r="BH33" s="9"/>
      <c r="BI33" s="2"/>
      <c r="BJ33" s="2"/>
      <c r="BK33" s="2"/>
      <c r="BL33" s="9"/>
      <c r="BO33" s="3"/>
      <c r="BS33" s="9"/>
      <c r="BT33" s="9"/>
      <c r="BU33" s="9"/>
    </row>
    <row r="34" spans="2:73" ht="12">
      <c r="B34" s="6" t="s">
        <v>26</v>
      </c>
      <c r="C34" s="8">
        <f>9712.1/1.5</f>
        <v>6474.733333333334</v>
      </c>
      <c r="D34" s="8">
        <f>9832.8/1.5</f>
        <v>6555.2</v>
      </c>
      <c r="E34" s="8">
        <f>9730.4/1.5</f>
        <v>6486.933333333333</v>
      </c>
      <c r="F34" s="8">
        <f>9589.9/1.5</f>
        <v>6393.266666666666</v>
      </c>
      <c r="G34" s="8">
        <f>9445.2/1.5</f>
        <v>6296.8</v>
      </c>
      <c r="H34" s="8">
        <f>9282.8/1.5</f>
        <v>6188.533333333333</v>
      </c>
      <c r="I34" s="8">
        <f>9113.8/1.5</f>
        <v>6075.866666666666</v>
      </c>
      <c r="J34" s="8">
        <f>9340.1/1.5</f>
        <v>6226.733333333334</v>
      </c>
      <c r="K34" s="8">
        <f>9447/1/1.5</f>
        <v>6298</v>
      </c>
      <c r="L34" s="8">
        <f>9507.6/1.5</f>
        <v>6338.400000000001</v>
      </c>
      <c r="M34" s="8"/>
      <c r="N34" s="8"/>
      <c r="O34" s="8"/>
      <c r="P34" s="8"/>
      <c r="Q34" s="8"/>
      <c r="R34" s="8"/>
      <c r="S34" s="7"/>
      <c r="Z34" s="2"/>
      <c r="AA34" s="2"/>
      <c r="AB34" s="2"/>
      <c r="AC34" s="2"/>
      <c r="AF34" s="3"/>
      <c r="AL34" s="9"/>
      <c r="AO34" s="3"/>
      <c r="AP34" s="9"/>
      <c r="AQ34" s="9"/>
      <c r="AR34" s="9"/>
      <c r="AS34" s="9"/>
      <c r="AT34" s="9"/>
      <c r="AU34" s="9"/>
      <c r="AV34" s="9"/>
      <c r="AW34" s="9"/>
      <c r="AX34" s="9"/>
      <c r="AY34" s="9"/>
      <c r="BB34" s="3"/>
      <c r="BC34" s="9"/>
      <c r="BD34" s="9"/>
      <c r="BE34" s="9"/>
      <c r="BF34" s="9"/>
      <c r="BG34" s="9"/>
      <c r="BH34" s="9"/>
      <c r="BI34" s="2"/>
      <c r="BJ34" s="2"/>
      <c r="BK34" s="2"/>
      <c r="BL34" s="9"/>
      <c r="BO34" s="3"/>
      <c r="BS34" s="9"/>
      <c r="BT34" s="9"/>
      <c r="BU34" s="9"/>
    </row>
    <row r="35" spans="3:73" ht="1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AL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BC35" s="9"/>
      <c r="BD35" s="9"/>
      <c r="BE35" s="9"/>
      <c r="BF35" s="9"/>
      <c r="BG35" s="9"/>
      <c r="BH35" s="9"/>
      <c r="BL35" s="9"/>
      <c r="BS35" s="9"/>
      <c r="BT35" s="9"/>
      <c r="BU35" s="9"/>
    </row>
    <row r="36" spans="1:73" ht="12">
      <c r="A36" s="6" t="s">
        <v>27</v>
      </c>
      <c r="C36" s="7">
        <f aca="true" t="shared" si="4" ref="C36:L36">SUM(C37:C39)</f>
        <v>14687.199999999999</v>
      </c>
      <c r="D36" s="7">
        <f t="shared" si="4"/>
        <v>15102.000000000002</v>
      </c>
      <c r="E36" s="7">
        <f t="shared" si="4"/>
        <v>18036.366666666665</v>
      </c>
      <c r="F36" s="7">
        <f t="shared" si="4"/>
        <v>14889</v>
      </c>
      <c r="G36" s="7">
        <f t="shared" si="4"/>
        <v>14381.466666666665</v>
      </c>
      <c r="H36" s="7">
        <f t="shared" si="4"/>
        <v>13774.066666666668</v>
      </c>
      <c r="I36" s="7">
        <f t="shared" si="4"/>
        <v>14045.666666666666</v>
      </c>
      <c r="J36" s="7">
        <f t="shared" si="4"/>
        <v>14650.999999999998</v>
      </c>
      <c r="K36" s="7">
        <f t="shared" si="4"/>
        <v>15379.466666666667</v>
      </c>
      <c r="L36" s="7">
        <f t="shared" si="4"/>
        <v>15261.666666666666</v>
      </c>
      <c r="M36" s="7"/>
      <c r="N36" s="7"/>
      <c r="O36" s="7"/>
      <c r="P36" s="7"/>
      <c r="Q36" s="8"/>
      <c r="R36" s="7"/>
      <c r="S36" s="8"/>
      <c r="T36" s="2"/>
      <c r="U36" s="2"/>
      <c r="V36" s="2"/>
      <c r="W36" s="2"/>
      <c r="X36" s="2"/>
      <c r="Y36" s="2"/>
      <c r="Z36" s="2"/>
      <c r="AA36" s="2"/>
      <c r="AB36" s="2"/>
      <c r="AC36" s="2"/>
      <c r="AE36" s="3"/>
      <c r="AG36" s="2"/>
      <c r="AH36" s="2"/>
      <c r="AI36" s="2"/>
      <c r="AJ36" s="2"/>
      <c r="AK36" s="2"/>
      <c r="AL36" s="9"/>
      <c r="AN36" s="3"/>
      <c r="AP36" s="2"/>
      <c r="AQ36" s="2"/>
      <c r="AR36" s="2"/>
      <c r="AS36" s="2"/>
      <c r="AT36" s="2"/>
      <c r="AU36" s="2"/>
      <c r="AV36" s="2"/>
      <c r="AW36" s="2"/>
      <c r="AX36" s="2"/>
      <c r="AY36" s="2"/>
      <c r="BA36" s="3"/>
      <c r="BC36" s="2"/>
      <c r="BD36" s="2"/>
      <c r="BE36" s="2"/>
      <c r="BF36" s="2"/>
      <c r="BG36" s="2"/>
      <c r="BH36" s="2"/>
      <c r="BI36" s="2"/>
      <c r="BJ36" s="2"/>
      <c r="BK36" s="2"/>
      <c r="BL36" s="2"/>
      <c r="BN36" s="3"/>
      <c r="BP36" s="2"/>
      <c r="BQ36" s="2"/>
      <c r="BR36" s="2"/>
      <c r="BS36" s="2"/>
      <c r="BT36" s="2"/>
      <c r="BU36" s="2"/>
    </row>
    <row r="37" spans="2:73" ht="12">
      <c r="B37" s="6" t="s">
        <v>28</v>
      </c>
      <c r="C37" s="8">
        <f>8826.9/1.5</f>
        <v>5884.599999999999</v>
      </c>
      <c r="D37" s="8">
        <f>8807.6/1.5</f>
        <v>5871.733333333334</v>
      </c>
      <c r="E37" s="8">
        <f>8737.4/1.5</f>
        <v>5824.933333333333</v>
      </c>
      <c r="F37" s="8">
        <f>8204/1.5</f>
        <v>5469.333333333333</v>
      </c>
      <c r="G37" s="8">
        <f>7775.4/1.5</f>
        <v>5183.599999999999</v>
      </c>
      <c r="H37" s="8">
        <f>7435.5/1.5</f>
        <v>4957</v>
      </c>
      <c r="I37" s="8">
        <f>7592.4/1.5</f>
        <v>5061.599999999999</v>
      </c>
      <c r="J37" s="8">
        <f>8091.9/1.5</f>
        <v>5394.599999999999</v>
      </c>
      <c r="K37" s="8">
        <f>8512.6/1.5</f>
        <v>5675.066666666667</v>
      </c>
      <c r="L37" s="8">
        <f>8357.6/1.5</f>
        <v>5571.733333333334</v>
      </c>
      <c r="M37" s="8"/>
      <c r="N37" s="8"/>
      <c r="O37" s="8"/>
      <c r="P37" s="8"/>
      <c r="Q37" s="8"/>
      <c r="R37" s="8"/>
      <c r="S37" s="7"/>
      <c r="Z37" s="2"/>
      <c r="AA37" s="2"/>
      <c r="AB37" s="2"/>
      <c r="AC37" s="2"/>
      <c r="AF37" s="3"/>
      <c r="AL37" s="9"/>
      <c r="AO37" s="3"/>
      <c r="AP37" s="9"/>
      <c r="AQ37" s="9"/>
      <c r="AR37" s="9"/>
      <c r="AS37" s="9"/>
      <c r="AT37" s="9"/>
      <c r="AU37" s="9"/>
      <c r="AV37" s="9"/>
      <c r="AW37" s="9"/>
      <c r="AX37" s="9"/>
      <c r="AY37" s="9"/>
      <c r="BB37" s="3"/>
      <c r="BC37" s="9"/>
      <c r="BD37" s="9"/>
      <c r="BE37" s="9"/>
      <c r="BF37" s="9"/>
      <c r="BG37" s="9"/>
      <c r="BH37" s="9"/>
      <c r="BI37" s="2"/>
      <c r="BJ37" s="2"/>
      <c r="BK37" s="2"/>
      <c r="BL37" s="9"/>
      <c r="BO37" s="3"/>
      <c r="BS37" s="9"/>
      <c r="BT37" s="9"/>
      <c r="BU37" s="9"/>
    </row>
    <row r="38" spans="2:73" ht="12">
      <c r="B38" s="6" t="s">
        <v>29</v>
      </c>
      <c r="C38" s="8">
        <f>7523/1.5</f>
        <v>5015.333333333333</v>
      </c>
      <c r="D38" s="8">
        <f>8015.9/1.5</f>
        <v>5343.933333333333</v>
      </c>
      <c r="E38" s="8">
        <v>8318.1</v>
      </c>
      <c r="F38" s="8">
        <f>8335/1.5</f>
        <v>5556.666666666667</v>
      </c>
      <c r="G38" s="8">
        <f>8162.2/1.5</f>
        <v>5441.466666666666</v>
      </c>
      <c r="H38" s="8">
        <f>7658.1/1.5</f>
        <v>5105.400000000001</v>
      </c>
      <c r="I38" s="8">
        <f>7762.7/1.5</f>
        <v>5175.133333333333</v>
      </c>
      <c r="J38" s="8">
        <f>8077.9/1.5</f>
        <v>5385.266666666666</v>
      </c>
      <c r="K38" s="8">
        <f>8521.2/1.5</f>
        <v>5680.8</v>
      </c>
      <c r="L38" s="8">
        <f>8677.6/1.5</f>
        <v>5785.066666666667</v>
      </c>
      <c r="M38" s="8"/>
      <c r="N38" s="8"/>
      <c r="O38" s="8"/>
      <c r="P38" s="8"/>
      <c r="Q38" s="8"/>
      <c r="R38" s="8"/>
      <c r="S38" s="7"/>
      <c r="Z38" s="2"/>
      <c r="AA38" s="2"/>
      <c r="AB38" s="2"/>
      <c r="AC38" s="2"/>
      <c r="AF38" s="3"/>
      <c r="AL38" s="9"/>
      <c r="AO38" s="3"/>
      <c r="AP38" s="9"/>
      <c r="AQ38" s="9"/>
      <c r="AR38" s="9"/>
      <c r="AS38" s="9"/>
      <c r="AT38" s="9"/>
      <c r="AU38" s="9"/>
      <c r="AV38" s="9"/>
      <c r="AW38" s="9"/>
      <c r="AX38" s="9"/>
      <c r="AY38" s="9"/>
      <c r="BB38" s="3"/>
      <c r="BC38" s="9"/>
      <c r="BD38" s="9"/>
      <c r="BE38" s="9"/>
      <c r="BF38" s="9"/>
      <c r="BG38" s="9"/>
      <c r="BH38" s="9"/>
      <c r="BI38" s="2"/>
      <c r="BJ38" s="2"/>
      <c r="BK38" s="2"/>
      <c r="BL38" s="9"/>
      <c r="BO38" s="3"/>
      <c r="BS38" s="9"/>
      <c r="BT38" s="9"/>
      <c r="BU38" s="9"/>
    </row>
    <row r="39" spans="2:73" ht="12">
      <c r="B39" s="6" t="s">
        <v>30</v>
      </c>
      <c r="C39" s="8">
        <f>5680.9/1.5</f>
        <v>3787.2666666666664</v>
      </c>
      <c r="D39" s="8">
        <f>5829.5/1.5</f>
        <v>3886.3333333333335</v>
      </c>
      <c r="E39" s="8">
        <f>5840/1.5</f>
        <v>3893.3333333333335</v>
      </c>
      <c r="F39" s="8">
        <f>5794.5/1.5</f>
        <v>3863</v>
      </c>
      <c r="G39" s="8">
        <f>5634.6/1.5</f>
        <v>3756.4</v>
      </c>
      <c r="H39" s="8">
        <f>5567.5/1.5</f>
        <v>3711.6666666666665</v>
      </c>
      <c r="I39" s="8">
        <f>5713.4/1.5</f>
        <v>3808.933333333333</v>
      </c>
      <c r="J39" s="8">
        <f>5806.7/1.5</f>
        <v>3871.133333333333</v>
      </c>
      <c r="K39" s="8">
        <f>6035.4/1.5</f>
        <v>4023.6</v>
      </c>
      <c r="L39" s="8">
        <f>5857.3/1.5</f>
        <v>3904.866666666667</v>
      </c>
      <c r="M39" s="8"/>
      <c r="N39" s="8"/>
      <c r="O39" s="8"/>
      <c r="P39" s="8"/>
      <c r="Q39" s="8"/>
      <c r="R39" s="8"/>
      <c r="S39" s="7"/>
      <c r="Z39" s="2"/>
      <c r="AA39" s="2"/>
      <c r="AB39" s="2"/>
      <c r="AC39" s="2"/>
      <c r="AF39" s="3"/>
      <c r="AL39" s="9"/>
      <c r="AO39" s="3"/>
      <c r="AP39" s="9"/>
      <c r="AQ39" s="9"/>
      <c r="AR39" s="9"/>
      <c r="AS39" s="9"/>
      <c r="AT39" s="9"/>
      <c r="AU39" s="9"/>
      <c r="AV39" s="9"/>
      <c r="AW39" s="9"/>
      <c r="AX39" s="9"/>
      <c r="AY39" s="9"/>
      <c r="BB39" s="3"/>
      <c r="BC39" s="9"/>
      <c r="BD39" s="9"/>
      <c r="BE39" s="9"/>
      <c r="BF39" s="9"/>
      <c r="BG39" s="9"/>
      <c r="BH39" s="9"/>
      <c r="BI39" s="2"/>
      <c r="BJ39" s="2"/>
      <c r="BK39" s="2"/>
      <c r="BL39" s="9"/>
      <c r="BO39" s="3"/>
      <c r="BS39" s="9"/>
      <c r="BT39" s="9"/>
      <c r="BU39" s="9"/>
    </row>
    <row r="40" spans="3:73" ht="1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AL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BC40" s="9"/>
      <c r="BD40" s="9"/>
      <c r="BE40" s="9"/>
      <c r="BF40" s="9"/>
      <c r="BG40" s="9"/>
      <c r="BH40" s="9"/>
      <c r="BL40" s="9"/>
      <c r="BS40" s="9"/>
      <c r="BT40" s="9"/>
      <c r="BU40" s="9"/>
    </row>
    <row r="41" spans="1:73" ht="12">
      <c r="A41" s="6" t="s">
        <v>31</v>
      </c>
      <c r="C41" s="7">
        <f aca="true" t="shared" si="5" ref="C41:L41">SUM(C42:C44)</f>
        <v>10842.8</v>
      </c>
      <c r="D41" s="7">
        <f t="shared" si="5"/>
        <v>11035.733333333334</v>
      </c>
      <c r="E41" s="7">
        <f t="shared" si="5"/>
        <v>10622.666666666666</v>
      </c>
      <c r="F41" s="7">
        <f t="shared" si="5"/>
        <v>10849.466666666667</v>
      </c>
      <c r="G41" s="7">
        <f t="shared" si="5"/>
        <v>10910.666666666666</v>
      </c>
      <c r="H41" s="7">
        <f t="shared" si="5"/>
        <v>10479.8</v>
      </c>
      <c r="I41" s="7">
        <f t="shared" si="5"/>
        <v>10694.866666666667</v>
      </c>
      <c r="J41" s="7">
        <f t="shared" si="5"/>
        <v>11181.733333333334</v>
      </c>
      <c r="K41" s="7">
        <f t="shared" si="5"/>
        <v>11774.533333333333</v>
      </c>
      <c r="L41" s="7">
        <f t="shared" si="5"/>
        <v>11926.2</v>
      </c>
      <c r="M41" s="7"/>
      <c r="N41" s="7"/>
      <c r="O41" s="7"/>
      <c r="P41" s="7"/>
      <c r="Q41" s="8"/>
      <c r="R41" s="7"/>
      <c r="S41" s="8"/>
      <c r="T41" s="2"/>
      <c r="U41" s="2"/>
      <c r="V41" s="2"/>
      <c r="W41" s="2"/>
      <c r="X41" s="2"/>
      <c r="Y41" s="2"/>
      <c r="Z41" s="2"/>
      <c r="AA41" s="2"/>
      <c r="AB41" s="2"/>
      <c r="AC41" s="2"/>
      <c r="AE41" s="3"/>
      <c r="AG41" s="2"/>
      <c r="AH41" s="2"/>
      <c r="AI41" s="2"/>
      <c r="AJ41" s="2"/>
      <c r="AK41" s="2"/>
      <c r="AL41" s="9"/>
      <c r="AN41" s="3"/>
      <c r="AP41" s="2"/>
      <c r="AQ41" s="2"/>
      <c r="AR41" s="2"/>
      <c r="AS41" s="2"/>
      <c r="AT41" s="2"/>
      <c r="AU41" s="2"/>
      <c r="AV41" s="2"/>
      <c r="AW41" s="2"/>
      <c r="AX41" s="2"/>
      <c r="AY41" s="2"/>
      <c r="BA41" s="3"/>
      <c r="BC41" s="2"/>
      <c r="BD41" s="2"/>
      <c r="BE41" s="2"/>
      <c r="BF41" s="2"/>
      <c r="BG41" s="2"/>
      <c r="BH41" s="2"/>
      <c r="BI41" s="2"/>
      <c r="BJ41" s="2"/>
      <c r="BK41" s="2"/>
      <c r="BL41" s="2"/>
      <c r="BN41" s="3"/>
      <c r="BP41" s="2"/>
      <c r="BQ41" s="2"/>
      <c r="BR41" s="2"/>
      <c r="BS41" s="2"/>
      <c r="BT41" s="2"/>
      <c r="BU41" s="2"/>
    </row>
    <row r="42" spans="2:73" ht="12">
      <c r="B42" s="6" t="s">
        <v>32</v>
      </c>
      <c r="C42" s="8">
        <f>7973.7/1.5</f>
        <v>5315.8</v>
      </c>
      <c r="D42" s="8">
        <f>7955/1.5</f>
        <v>5303.333333333333</v>
      </c>
      <c r="E42" s="8">
        <f>7862/1.5</f>
        <v>5241.333333333333</v>
      </c>
      <c r="F42" s="8">
        <f>7831.1/1.5</f>
        <v>5220.733333333334</v>
      </c>
      <c r="G42" s="8">
        <f>7964.5/1.5</f>
        <v>5309.666666666667</v>
      </c>
      <c r="H42" s="8">
        <f>7598.8/1.5</f>
        <v>5065.866666666667</v>
      </c>
      <c r="I42" s="8">
        <f>7689.2/1.5</f>
        <v>5126.133333333333</v>
      </c>
      <c r="J42" s="8">
        <f>8009/1.5</f>
        <v>5339.333333333333</v>
      </c>
      <c r="K42" s="8">
        <f>8532.8/1.5</f>
        <v>5688.533333333333</v>
      </c>
      <c r="L42" s="8">
        <f>8585.2/1.5</f>
        <v>5723.466666666667</v>
      </c>
      <c r="M42" s="8"/>
      <c r="N42" s="8"/>
      <c r="O42" s="8"/>
      <c r="P42" s="8"/>
      <c r="Q42" s="8"/>
      <c r="R42" s="8"/>
      <c r="S42" s="7"/>
      <c r="Z42" s="2"/>
      <c r="AA42" s="2"/>
      <c r="AB42" s="2"/>
      <c r="AC42" s="2"/>
      <c r="AF42" s="3"/>
      <c r="AL42" s="9"/>
      <c r="AO42" s="3"/>
      <c r="AP42" s="9"/>
      <c r="AQ42" s="9"/>
      <c r="AR42" s="9"/>
      <c r="AS42" s="9"/>
      <c r="AT42" s="9"/>
      <c r="AU42" s="9"/>
      <c r="AV42" s="9"/>
      <c r="AW42" s="9"/>
      <c r="AX42" s="9"/>
      <c r="AY42" s="9"/>
      <c r="BB42" s="3"/>
      <c r="BC42" s="9"/>
      <c r="BD42" s="9"/>
      <c r="BE42" s="9"/>
      <c r="BF42" s="9"/>
      <c r="BG42" s="9"/>
      <c r="BH42" s="9"/>
      <c r="BI42" s="2"/>
      <c r="BJ42" s="2"/>
      <c r="BK42" s="2"/>
      <c r="BL42" s="9"/>
      <c r="BO42" s="3"/>
      <c r="BS42" s="9"/>
      <c r="BT42" s="9"/>
      <c r="BU42" s="9"/>
    </row>
    <row r="43" spans="2:73" ht="12">
      <c r="B43" s="6" t="s">
        <v>33</v>
      </c>
      <c r="C43" s="8">
        <f>5497.8/1.5</f>
        <v>3665.2000000000003</v>
      </c>
      <c r="D43" s="8">
        <f>5718.1/1.5</f>
        <v>3812.066666666667</v>
      </c>
      <c r="E43" s="8">
        <f>5482.8/1.5</f>
        <v>3655.2000000000003</v>
      </c>
      <c r="F43" s="8">
        <f>5468.6/1.5</f>
        <v>3645.7333333333336</v>
      </c>
      <c r="G43" s="8">
        <f>5499.9/1.5</f>
        <v>3666.6</v>
      </c>
      <c r="H43" s="8">
        <f>5346.8/1.5</f>
        <v>3564.5333333333333</v>
      </c>
      <c r="I43" s="8">
        <f>5491.3/1.5</f>
        <v>3660.866666666667</v>
      </c>
      <c r="J43" s="8">
        <f>5762.9/1.5</f>
        <v>3841.933333333333</v>
      </c>
      <c r="K43" s="8">
        <f>5877.9/1.5</f>
        <v>3918.6</v>
      </c>
      <c r="L43" s="8">
        <f>5993.4/1.5</f>
        <v>3995.6</v>
      </c>
      <c r="M43" s="8"/>
      <c r="N43" s="8"/>
      <c r="O43" s="8"/>
      <c r="P43" s="8"/>
      <c r="Q43" s="8"/>
      <c r="R43" s="8"/>
      <c r="S43" s="7"/>
      <c r="Z43" s="2"/>
      <c r="AA43" s="2"/>
      <c r="AB43" s="2"/>
      <c r="AC43" s="2"/>
      <c r="AF43" s="3"/>
      <c r="AL43" s="9"/>
      <c r="AO43" s="3"/>
      <c r="AP43" s="9"/>
      <c r="AQ43" s="9"/>
      <c r="AR43" s="9"/>
      <c r="AS43" s="9"/>
      <c r="AT43" s="9"/>
      <c r="AU43" s="9"/>
      <c r="AV43" s="9"/>
      <c r="AW43" s="9"/>
      <c r="AX43" s="9"/>
      <c r="AY43" s="9"/>
      <c r="BB43" s="3"/>
      <c r="BC43" s="9"/>
      <c r="BD43" s="9"/>
      <c r="BE43" s="9"/>
      <c r="BF43" s="9"/>
      <c r="BG43" s="9"/>
      <c r="BH43" s="9"/>
      <c r="BI43" s="2"/>
      <c r="BJ43" s="2"/>
      <c r="BK43" s="2"/>
      <c r="BL43" s="9"/>
      <c r="BO43" s="3"/>
      <c r="BS43" s="9"/>
      <c r="BT43" s="9"/>
      <c r="BU43" s="9"/>
    </row>
    <row r="44" spans="2:73" ht="12">
      <c r="B44" s="6" t="s">
        <v>34</v>
      </c>
      <c r="C44" s="8">
        <f>2792.7/1.5</f>
        <v>1861.8</v>
      </c>
      <c r="D44" s="8">
        <f>2880.5/1.5</f>
        <v>1920.3333333333333</v>
      </c>
      <c r="E44" s="8">
        <f>2589.2/1.5</f>
        <v>1726.1333333333332</v>
      </c>
      <c r="F44" s="8">
        <f>2974.5/1.5</f>
        <v>1983</v>
      </c>
      <c r="G44" s="8">
        <f>2901.6/1.5</f>
        <v>1934.3999999999999</v>
      </c>
      <c r="H44" s="8">
        <f>2774.1/1.5</f>
        <v>1849.3999999999999</v>
      </c>
      <c r="I44" s="8">
        <f>2861.8/1.5</f>
        <v>1907.8666666666668</v>
      </c>
      <c r="J44" s="8">
        <f>3000.7/1.5</f>
        <v>2000.4666666666665</v>
      </c>
      <c r="K44" s="8">
        <f>3251.1/1.5</f>
        <v>2167.4</v>
      </c>
      <c r="L44" s="8">
        <f>3310.7/1.5</f>
        <v>2207.133333333333</v>
      </c>
      <c r="M44" s="8"/>
      <c r="N44" s="8"/>
      <c r="O44" s="8"/>
      <c r="P44" s="8"/>
      <c r="Q44" s="8"/>
      <c r="R44" s="8"/>
      <c r="S44" s="7"/>
      <c r="Z44" s="2"/>
      <c r="AA44" s="2"/>
      <c r="AB44" s="2"/>
      <c r="AC44" s="2"/>
      <c r="AF44" s="3"/>
      <c r="AL44" s="9"/>
      <c r="AO44" s="3"/>
      <c r="AP44" s="9"/>
      <c r="AQ44" s="9"/>
      <c r="AR44" s="9"/>
      <c r="AS44" s="9"/>
      <c r="AT44" s="9"/>
      <c r="AU44" s="9"/>
      <c r="AV44" s="9"/>
      <c r="AW44" s="9"/>
      <c r="AX44" s="9"/>
      <c r="AY44" s="9"/>
      <c r="BB44" s="3"/>
      <c r="BC44" s="9"/>
      <c r="BD44" s="9"/>
      <c r="BE44" s="9"/>
      <c r="BF44" s="9"/>
      <c r="BG44" s="9"/>
      <c r="BH44" s="9"/>
      <c r="BI44" s="2"/>
      <c r="BJ44" s="2"/>
      <c r="BK44" s="2"/>
      <c r="BL44" s="9"/>
      <c r="BO44" s="3"/>
      <c r="BS44" s="9"/>
      <c r="BT44" s="9"/>
      <c r="BU44" s="9"/>
    </row>
    <row r="45" spans="2:38" ht="12">
      <c r="B45" s="1" t="s">
        <v>35</v>
      </c>
      <c r="C45" s="10" t="s">
        <v>36</v>
      </c>
      <c r="D45" s="10" t="s">
        <v>36</v>
      </c>
      <c r="E45" s="10" t="s">
        <v>36</v>
      </c>
      <c r="F45" s="10" t="s">
        <v>36</v>
      </c>
      <c r="G45" s="10" t="s">
        <v>36</v>
      </c>
      <c r="H45" s="10" t="s">
        <v>36</v>
      </c>
      <c r="I45" s="10" t="s">
        <v>36</v>
      </c>
      <c r="J45" s="10" t="s">
        <v>36</v>
      </c>
      <c r="K45" s="10" t="s">
        <v>36</v>
      </c>
      <c r="L45" s="10" t="s">
        <v>36</v>
      </c>
      <c r="M45" s="8"/>
      <c r="N45" s="8"/>
      <c r="O45" s="8"/>
      <c r="P45" s="8"/>
      <c r="Q45" s="8"/>
      <c r="R45" s="8"/>
      <c r="S45" s="8"/>
      <c r="AL45" s="9"/>
    </row>
    <row r="46" spans="3:73" ht="1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AL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BC46" s="9"/>
      <c r="BD46" s="9"/>
      <c r="BE46" s="9"/>
      <c r="BF46" s="9"/>
      <c r="BG46" s="9"/>
      <c r="BH46" s="9"/>
      <c r="BL46" s="9"/>
      <c r="BS46" s="9"/>
      <c r="BT46" s="9"/>
      <c r="BU46" s="9"/>
    </row>
    <row r="47" spans="1:73" ht="12">
      <c r="A47" s="6" t="s">
        <v>37</v>
      </c>
      <c r="C47" s="7">
        <f aca="true" t="shared" si="6" ref="C47:L47">SUM(C48:C51)</f>
        <v>15183.533333333335</v>
      </c>
      <c r="D47" s="7">
        <f t="shared" si="6"/>
        <v>15409.400000000001</v>
      </c>
      <c r="E47" s="7">
        <f t="shared" si="6"/>
        <v>14955.733333333334</v>
      </c>
      <c r="F47" s="7">
        <f t="shared" si="6"/>
        <v>15313.6</v>
      </c>
      <c r="G47" s="7">
        <f t="shared" si="6"/>
        <v>15537.933333333334</v>
      </c>
      <c r="H47" s="7">
        <f t="shared" si="6"/>
        <v>15031.599999999999</v>
      </c>
      <c r="I47" s="7">
        <f t="shared" si="6"/>
        <v>14903.4</v>
      </c>
      <c r="J47" s="7">
        <f t="shared" si="6"/>
        <v>15481.066666666668</v>
      </c>
      <c r="K47" s="7">
        <f t="shared" si="6"/>
        <v>17687.233333333334</v>
      </c>
      <c r="L47" s="7">
        <f t="shared" si="6"/>
        <v>16390.466666666667</v>
      </c>
      <c r="M47" s="7"/>
      <c r="N47" s="7"/>
      <c r="O47" s="7"/>
      <c r="P47" s="7"/>
      <c r="Q47" s="8"/>
      <c r="R47" s="7"/>
      <c r="S47" s="8"/>
      <c r="T47" s="2"/>
      <c r="U47" s="2"/>
      <c r="V47" s="2"/>
      <c r="W47" s="2"/>
      <c r="X47" s="2"/>
      <c r="Y47" s="2"/>
      <c r="Z47" s="2"/>
      <c r="AA47" s="2"/>
      <c r="AB47" s="2"/>
      <c r="AC47" s="2"/>
      <c r="AE47" s="3"/>
      <c r="AG47" s="2"/>
      <c r="AH47" s="2"/>
      <c r="AI47" s="2"/>
      <c r="AJ47" s="2"/>
      <c r="AK47" s="2"/>
      <c r="AL47" s="9"/>
      <c r="AN47" s="3"/>
      <c r="AP47" s="2"/>
      <c r="AQ47" s="2"/>
      <c r="AR47" s="2"/>
      <c r="AS47" s="2"/>
      <c r="AT47" s="2"/>
      <c r="AU47" s="2"/>
      <c r="AV47" s="2"/>
      <c r="AW47" s="2"/>
      <c r="AX47" s="2"/>
      <c r="AY47" s="2"/>
      <c r="BA47" s="3"/>
      <c r="BC47" s="2"/>
      <c r="BD47" s="2"/>
      <c r="BE47" s="2"/>
      <c r="BF47" s="2"/>
      <c r="BG47" s="2"/>
      <c r="BH47" s="2"/>
      <c r="BI47" s="2"/>
      <c r="BJ47" s="2"/>
      <c r="BK47" s="2"/>
      <c r="BL47" s="2"/>
      <c r="BN47" s="3"/>
      <c r="BP47" s="2"/>
      <c r="BQ47" s="2"/>
      <c r="BR47" s="2"/>
      <c r="BS47" s="2"/>
      <c r="BT47" s="2"/>
      <c r="BU47" s="2"/>
    </row>
    <row r="48" spans="2:73" ht="12">
      <c r="B48" s="6" t="s">
        <v>38</v>
      </c>
      <c r="C48" s="8">
        <f>14243/1.5</f>
        <v>9495.333333333334</v>
      </c>
      <c r="D48" s="8">
        <f>14373/1.5</f>
        <v>9582</v>
      </c>
      <c r="E48" s="8">
        <f>13662/1.5</f>
        <v>9108</v>
      </c>
      <c r="F48" s="8">
        <f>13963/1.5</f>
        <v>9308.666666666666</v>
      </c>
      <c r="G48" s="8">
        <f>13909/1.5</f>
        <v>9272.666666666666</v>
      </c>
      <c r="H48" s="8">
        <f>13516/1.5</f>
        <v>9010.666666666666</v>
      </c>
      <c r="I48" s="8">
        <f>13249/1.5</f>
        <v>8832.666666666666</v>
      </c>
      <c r="J48" s="8">
        <f>14245.7/1.5</f>
        <v>9497.133333333333</v>
      </c>
      <c r="K48" s="8">
        <f>14705.9/1.5</f>
        <v>9803.933333333332</v>
      </c>
      <c r="L48" s="8">
        <f>15323.1/1.5</f>
        <v>10215.4</v>
      </c>
      <c r="M48" s="8"/>
      <c r="N48" s="8"/>
      <c r="O48" s="8"/>
      <c r="P48" s="8"/>
      <c r="Q48" s="8"/>
      <c r="R48" s="8"/>
      <c r="S48" s="7"/>
      <c r="Z48" s="2"/>
      <c r="AA48" s="2"/>
      <c r="AB48" s="2"/>
      <c r="AC48" s="2"/>
      <c r="AF48" s="3"/>
      <c r="AL48" s="9"/>
      <c r="AO48" s="3"/>
      <c r="AP48" s="9"/>
      <c r="AQ48" s="9"/>
      <c r="AR48" s="9"/>
      <c r="AS48" s="9"/>
      <c r="AT48" s="9"/>
      <c r="AU48" s="9"/>
      <c r="AV48" s="9"/>
      <c r="AW48" s="9"/>
      <c r="AX48" s="9"/>
      <c r="AY48" s="9"/>
      <c r="BB48" s="3"/>
      <c r="BC48" s="9"/>
      <c r="BD48" s="9"/>
      <c r="BE48" s="9"/>
      <c r="BF48" s="9"/>
      <c r="BG48" s="9"/>
      <c r="BH48" s="9"/>
      <c r="BI48" s="2"/>
      <c r="BJ48" s="2"/>
      <c r="BK48" s="2"/>
      <c r="BL48" s="9"/>
      <c r="BO48" s="3"/>
      <c r="BS48" s="9"/>
      <c r="BT48" s="9"/>
      <c r="BU48" s="9"/>
    </row>
    <row r="49" spans="2:73" ht="12">
      <c r="B49" s="6" t="s">
        <v>39</v>
      </c>
      <c r="C49" s="8">
        <f>3321/1.5</f>
        <v>2214</v>
      </c>
      <c r="D49" s="8">
        <f>3399/1.5</f>
        <v>2266</v>
      </c>
      <c r="E49" s="8">
        <f>3449/1.5</f>
        <v>2299.3333333333335</v>
      </c>
      <c r="F49" s="8">
        <f>3641/1.5</f>
        <v>2427.3333333333335</v>
      </c>
      <c r="G49" s="8">
        <f>3957/1.5</f>
        <v>2638</v>
      </c>
      <c r="H49" s="8">
        <f>3736/1.5</f>
        <v>2490.6666666666665</v>
      </c>
      <c r="I49" s="8">
        <f>3822/1.5</f>
        <v>2548</v>
      </c>
      <c r="J49" s="8">
        <f>3500/1.5</f>
        <v>2333.3333333333335</v>
      </c>
      <c r="K49" s="8">
        <f>3716/1.5</f>
        <v>2477.3333333333335</v>
      </c>
      <c r="L49" s="8">
        <f>3765/1.5</f>
        <v>2510</v>
      </c>
      <c r="M49" s="8"/>
      <c r="N49" s="8"/>
      <c r="O49" s="8"/>
      <c r="P49" s="8"/>
      <c r="Q49" s="8"/>
      <c r="R49" s="8"/>
      <c r="S49" s="7"/>
      <c r="Z49" s="2"/>
      <c r="AA49" s="2"/>
      <c r="AB49" s="2"/>
      <c r="AC49" s="2"/>
      <c r="AF49" s="3"/>
      <c r="AL49" s="9"/>
      <c r="AO49" s="3"/>
      <c r="AP49" s="9"/>
      <c r="AQ49" s="9"/>
      <c r="AR49" s="9"/>
      <c r="AS49" s="9"/>
      <c r="AT49" s="9"/>
      <c r="AU49" s="9"/>
      <c r="AV49" s="9"/>
      <c r="AW49" s="9"/>
      <c r="AX49" s="9"/>
      <c r="AY49" s="9"/>
      <c r="BB49" s="3"/>
      <c r="BC49" s="9"/>
      <c r="BD49" s="9"/>
      <c r="BE49" s="9"/>
      <c r="BF49" s="9"/>
      <c r="BG49" s="9"/>
      <c r="BH49" s="9"/>
      <c r="BI49" s="2"/>
      <c r="BJ49" s="2"/>
      <c r="BK49" s="2"/>
      <c r="BL49" s="9"/>
      <c r="BO49" s="3"/>
      <c r="BP49" s="9"/>
      <c r="BR49" s="9"/>
      <c r="BS49" s="9"/>
      <c r="BT49" s="9"/>
      <c r="BU49" s="9"/>
    </row>
    <row r="50" spans="2:73" ht="12">
      <c r="B50" s="6" t="s">
        <v>40</v>
      </c>
      <c r="C50" s="8">
        <f>4958.2/1.5</f>
        <v>3305.4666666666667</v>
      </c>
      <c r="D50" s="8">
        <f>5076.3/1.5</f>
        <v>3384.2000000000003</v>
      </c>
      <c r="E50" s="8">
        <f>5057.3/1.5</f>
        <v>3371.5333333333333</v>
      </c>
      <c r="F50" s="8">
        <f>5101.7/1.5</f>
        <v>3401.133333333333</v>
      </c>
      <c r="G50" s="8">
        <f>5155.6/1.5</f>
        <v>3437.066666666667</v>
      </c>
      <c r="H50" s="8">
        <f>5011.7/1.5</f>
        <v>3341.133333333333</v>
      </c>
      <c r="I50" s="8">
        <f>5004/1.5</f>
        <v>3336</v>
      </c>
      <c r="J50" s="8">
        <f>5192.8/1.5</f>
        <v>3461.866666666667</v>
      </c>
      <c r="K50" s="8">
        <v>5210.3</v>
      </c>
      <c r="L50" s="8">
        <f>5211/1.5</f>
        <v>3474</v>
      </c>
      <c r="M50" s="8"/>
      <c r="N50" s="8"/>
      <c r="O50" s="8"/>
      <c r="P50" s="8"/>
      <c r="Q50" s="8"/>
      <c r="R50" s="8"/>
      <c r="S50" s="7"/>
      <c r="Z50" s="2"/>
      <c r="AA50" s="2"/>
      <c r="AB50" s="2"/>
      <c r="AC50" s="2"/>
      <c r="AF50" s="3"/>
      <c r="AL50" s="9"/>
      <c r="AO50" s="3"/>
      <c r="AP50" s="9"/>
      <c r="AQ50" s="9"/>
      <c r="AR50" s="9"/>
      <c r="AS50" s="9"/>
      <c r="AT50" s="9"/>
      <c r="AU50" s="9"/>
      <c r="AV50" s="9"/>
      <c r="AW50" s="9"/>
      <c r="AX50" s="9"/>
      <c r="AY50" s="9"/>
      <c r="BB50" s="3"/>
      <c r="BC50" s="9"/>
      <c r="BD50" s="9"/>
      <c r="BE50" s="9"/>
      <c r="BF50" s="9"/>
      <c r="BG50" s="9"/>
      <c r="BH50" s="9"/>
      <c r="BI50" s="2"/>
      <c r="BJ50" s="2"/>
      <c r="BK50" s="2"/>
      <c r="BL50" s="9"/>
      <c r="BO50" s="3"/>
      <c r="BP50" s="9"/>
      <c r="BQ50" s="9"/>
      <c r="BR50" s="9"/>
      <c r="BS50" s="9"/>
      <c r="BT50" s="9"/>
      <c r="BU50" s="9"/>
    </row>
    <row r="51" spans="2:73" ht="12">
      <c r="B51" s="6" t="s">
        <v>41</v>
      </c>
      <c r="C51" s="8">
        <f>253.1/1.5</f>
        <v>168.73333333333332</v>
      </c>
      <c r="D51" s="8">
        <f>265.8/1.5</f>
        <v>177.20000000000002</v>
      </c>
      <c r="E51" s="8">
        <f>265.3/1.5</f>
        <v>176.86666666666667</v>
      </c>
      <c r="F51" s="8">
        <f>264.7/1.5</f>
        <v>176.46666666666667</v>
      </c>
      <c r="G51" s="8">
        <f>285.3/1.5</f>
        <v>190.20000000000002</v>
      </c>
      <c r="H51" s="8">
        <f>283.7/1.5</f>
        <v>189.13333333333333</v>
      </c>
      <c r="I51" s="8">
        <f>280.1/1.5</f>
        <v>186.73333333333335</v>
      </c>
      <c r="J51" s="8">
        <f>283.1/1.5</f>
        <v>188.73333333333335</v>
      </c>
      <c r="K51" s="8">
        <f>293.5/1.5</f>
        <v>195.66666666666666</v>
      </c>
      <c r="L51" s="8">
        <f>286.6/1.5</f>
        <v>191.0666666666667</v>
      </c>
      <c r="M51" s="8"/>
      <c r="N51" s="8"/>
      <c r="O51" s="8"/>
      <c r="P51" s="8"/>
      <c r="Q51" s="8"/>
      <c r="R51" s="8"/>
      <c r="S51" s="7"/>
      <c r="Z51" s="2"/>
      <c r="AA51" s="2"/>
      <c r="AB51" s="2"/>
      <c r="AC51" s="2"/>
      <c r="AF51" s="3"/>
      <c r="AL51" s="9"/>
      <c r="AO51" s="3"/>
      <c r="AP51" s="9"/>
      <c r="AQ51" s="9"/>
      <c r="AR51" s="9"/>
      <c r="AS51" s="9"/>
      <c r="AT51" s="9"/>
      <c r="AU51" s="9"/>
      <c r="AV51" s="9"/>
      <c r="AW51" s="9"/>
      <c r="AX51" s="9"/>
      <c r="AY51" s="9"/>
      <c r="BB51" s="3"/>
      <c r="BC51" s="9"/>
      <c r="BD51" s="9"/>
      <c r="BE51" s="9"/>
      <c r="BF51" s="9"/>
      <c r="BG51" s="9"/>
      <c r="BH51" s="9"/>
      <c r="BI51" s="2"/>
      <c r="BJ51" s="2"/>
      <c r="BK51" s="2"/>
      <c r="BL51" s="9"/>
      <c r="BO51" s="3"/>
      <c r="BP51" s="9"/>
      <c r="BQ51" s="9"/>
      <c r="BR51" s="9"/>
      <c r="BS51" s="9"/>
      <c r="BT51" s="9"/>
      <c r="BU51" s="9"/>
    </row>
    <row r="52" spans="3:73" ht="1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AL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BC52" s="9"/>
      <c r="BD52" s="9"/>
      <c r="BE52" s="9"/>
      <c r="BF52" s="9"/>
      <c r="BG52" s="9"/>
      <c r="BH52" s="9"/>
      <c r="BL52" s="9"/>
      <c r="BS52" s="9"/>
      <c r="BT52" s="9"/>
      <c r="BU52" s="9"/>
    </row>
    <row r="53" spans="1:73" ht="12">
      <c r="A53" s="6" t="s">
        <v>42</v>
      </c>
      <c r="C53" s="7">
        <f aca="true" t="shared" si="7" ref="C53:L53">SUM(C9,C14,C22,C30,C36,C41,C47)</f>
        <v>119896.86666666667</v>
      </c>
      <c r="D53" s="7">
        <f t="shared" si="7"/>
        <v>123212.93333333332</v>
      </c>
      <c r="E53" s="7">
        <f t="shared" si="7"/>
        <v>122462.90000000001</v>
      </c>
      <c r="F53" s="7">
        <f t="shared" si="7"/>
        <v>121118.26666666666</v>
      </c>
      <c r="G53" s="7">
        <f t="shared" si="7"/>
        <v>119873.26666666666</v>
      </c>
      <c r="H53" s="7">
        <f t="shared" si="7"/>
        <v>115752.06666666668</v>
      </c>
      <c r="I53" s="7">
        <f t="shared" si="7"/>
        <v>116240.22222222222</v>
      </c>
      <c r="J53" s="7">
        <f t="shared" si="7"/>
        <v>119555.53333333334</v>
      </c>
      <c r="K53" s="7">
        <f t="shared" si="7"/>
        <v>122933.03333333333</v>
      </c>
      <c r="L53" s="7">
        <f t="shared" si="7"/>
        <v>121437.13333333333</v>
      </c>
      <c r="M53" s="7"/>
      <c r="N53" s="7"/>
      <c r="O53" s="7"/>
      <c r="P53" s="7"/>
      <c r="Q53" s="8"/>
      <c r="R53" s="7"/>
      <c r="S53" s="8"/>
      <c r="T53" s="2"/>
      <c r="U53" s="2"/>
      <c r="V53" s="2"/>
      <c r="W53" s="2"/>
      <c r="X53" s="2"/>
      <c r="Y53" s="2"/>
      <c r="Z53" s="2"/>
      <c r="AA53" s="2"/>
      <c r="AB53" s="2"/>
      <c r="AC53" s="2"/>
      <c r="AE53" s="3"/>
      <c r="AG53" s="2"/>
      <c r="AH53" s="2"/>
      <c r="AI53" s="2"/>
      <c r="AJ53" s="2"/>
      <c r="AK53" s="2"/>
      <c r="AL53" s="9"/>
      <c r="AN53" s="3"/>
      <c r="AP53" s="2"/>
      <c r="AQ53" s="2"/>
      <c r="AR53" s="2"/>
      <c r="AS53" s="2"/>
      <c r="AT53" s="2"/>
      <c r="AU53" s="2"/>
      <c r="AV53" s="2"/>
      <c r="AW53" s="2"/>
      <c r="AX53" s="2"/>
      <c r="AY53" s="2"/>
      <c r="BA53" s="3"/>
      <c r="BC53" s="2"/>
      <c r="BD53" s="2"/>
      <c r="BE53" s="2"/>
      <c r="BF53" s="2"/>
      <c r="BG53" s="2"/>
      <c r="BH53" s="2"/>
      <c r="BI53" s="2"/>
      <c r="BJ53" s="2"/>
      <c r="BK53" s="2"/>
      <c r="BL53" s="2"/>
      <c r="BN53" s="3"/>
      <c r="BP53" s="2"/>
      <c r="BQ53" s="2"/>
      <c r="BR53" s="2"/>
      <c r="BS53" s="2"/>
      <c r="BT53" s="2"/>
      <c r="BU53" s="2"/>
    </row>
    <row r="54" spans="1:73" ht="12">
      <c r="A54" s="6" t="s">
        <v>43</v>
      </c>
      <c r="C54" s="8">
        <v>120741.33333333333</v>
      </c>
      <c r="D54" s="8">
        <v>122103.33333333333</v>
      </c>
      <c r="E54" s="8">
        <v>119627.33333333333</v>
      </c>
      <c r="F54" s="8">
        <v>120988</v>
      </c>
      <c r="G54" s="8">
        <v>119230</v>
      </c>
      <c r="H54" s="8">
        <v>116157.33333333333</v>
      </c>
      <c r="I54" s="8">
        <v>117604</v>
      </c>
      <c r="J54" s="8">
        <v>119267.33333333333</v>
      </c>
      <c r="K54" s="8">
        <v>120846</v>
      </c>
      <c r="L54" s="8">
        <v>121209.33333333333</v>
      </c>
      <c r="M54" s="8"/>
      <c r="N54" s="8"/>
      <c r="O54" s="8"/>
      <c r="P54" s="8"/>
      <c r="Q54" s="8"/>
      <c r="R54" s="7"/>
      <c r="S54" s="8"/>
      <c r="Z54" s="2"/>
      <c r="AA54" s="2"/>
      <c r="AB54" s="2"/>
      <c r="AC54" s="2"/>
      <c r="AE54" s="3"/>
      <c r="AL54" s="9"/>
      <c r="AN54" s="3"/>
      <c r="BA54" s="3"/>
      <c r="BI54" s="2"/>
      <c r="BJ54" s="2"/>
      <c r="BK54" s="2"/>
      <c r="BL54" s="9"/>
      <c r="BN54" s="3"/>
      <c r="BS54" s="9"/>
      <c r="BT54" s="9"/>
      <c r="BU54" s="9"/>
    </row>
    <row r="55" spans="3:19" ht="1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3:19" ht="1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73" ht="12">
      <c r="A57" s="1" t="s">
        <v>44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8"/>
      <c r="R57" s="7"/>
      <c r="S57" s="7"/>
      <c r="T57" s="3"/>
      <c r="U57" s="3"/>
      <c r="V57" s="3"/>
      <c r="W57" s="3"/>
      <c r="X57" s="3"/>
      <c r="Y57" s="3"/>
      <c r="Z57" s="3"/>
      <c r="AA57" s="3"/>
      <c r="AB57" s="3"/>
      <c r="AC57" s="3"/>
      <c r="AE57" s="3"/>
      <c r="AF57" s="3"/>
      <c r="AG57" s="3"/>
      <c r="AH57" s="3"/>
      <c r="AI57" s="3"/>
      <c r="AJ57" s="3"/>
      <c r="AK57" s="3"/>
      <c r="AL57" s="3"/>
      <c r="BP57" s="3"/>
      <c r="BQ57" s="3"/>
      <c r="BR57" s="3"/>
      <c r="BS57" s="3"/>
      <c r="BT57" s="3"/>
      <c r="BU57" s="3"/>
    </row>
    <row r="58" spans="1:19" ht="12">
      <c r="A58" s="1" t="s">
        <v>45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3:19" ht="1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">
      <c r="A60" s="1" t="s">
        <v>46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61" ht="12">
      <c r="A61" s="1" t="s">
        <v>47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AN61" s="1" t="s">
        <v>1</v>
      </c>
      <c r="BA61" s="1" t="s">
        <v>48</v>
      </c>
      <c r="BI61" s="1" t="s">
        <v>48</v>
      </c>
    </row>
    <row r="62" spans="3:40" ht="1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AN62" s="1" t="s">
        <v>1</v>
      </c>
    </row>
    <row r="63" spans="3:19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ht="1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ht="1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ht="1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 ht="1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3:19" ht="1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