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activeTab="0"/>
  </bookViews>
  <sheets>
    <sheet name="TBL_61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<sst xmlns="http://schemas.openxmlformats.org/spreadsheetml/2006/main" count="61" uniqueCount="49">
  <si>
    <t>Table 61--Total grain production, by region and province, China, 1973-82—u1</t>
  </si>
  <si>
    <t xml:space="preserve"> </t>
  </si>
  <si>
    <t>Region/province</t>
  </si>
  <si>
    <t xml:space="preserve">            1,000 tons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</si>
  <si>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</si>
  <si>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</si>
  <si>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</si>
  <si>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</si>
  <si>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</si>
  <si>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</si>
  <si>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</si>
  <si>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</si>
  <si>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</si>
  <si>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</si>
  <si>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</si>
  <si>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</si>
  <si>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</si>
  <si>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</si>
  <si>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</si>
  <si>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</si>
  <si>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</si>
  <si>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</si>
  <si>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</si>
  <si>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</si>
  <si>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</si>
  <si>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</si>
  <si>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</si>
  <si>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</si>
  <si>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</si>
  <si>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</si>
  <si>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</si>
  <si>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</si>
  <si>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</si>
  <si>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</si>
  <si>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</si>
  <si>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Hainan—u2</t>
  </si>
  <si>
    <t>na</t>
  </si>
  <si>
    <t>Southwest</t>
  </si>
  <si>
    <t>Sichuan</t>
  </si>
  <si>
    <t>Guizhou</t>
  </si>
  <si>
    <t>Yunnan</t>
  </si>
  <si>
    <t>Xizang</t>
  </si>
  <si>
    <t>Sum of above</t>
  </si>
  <si>
    <t>SSB total</t>
  </si>
  <si>
    <t xml:space="preserve">    —u1˜ Total grain includes rice, wheat, corn, sorghum, millet, other miscellaneous grain, tubers (potatoes) and soybeans.</t>
  </si>
  <si>
    <t xml:space="preserve">    —u2˜ Hainan data available beginning in 1988 -- prior years included in Guangdong.</t>
  </si>
  <si>
    <t xml:space="preserve">    Sources:  (3, p. 22), (4, p. 34), (5, p. 37), (6, p. 85), (7, p. 146), (8, p. 179), (28, p. 141), (56, pp. 74-118), (34, p. 367) and</t>
  </si>
  <si>
    <t>(35, p. 350).</t>
  </si>
  <si>
    <t xml:space="preserve">  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</si>
</sst>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Z68"/>
  <sheetViews>
    <sheetView showGridLines="0" tabSelected="1" workbookViewId="0" topLeftCell="A1">
      <selection activeCell="A1" sqref="A1"/>
    </sheetView>
  </sheetViews>
  <sheetFormatPr defaultColWidth="11.625" defaultRowHeight="12.75"/>
  <cols>
    <col min="1" max="1" width="2.625" style="0" customWidth="1"/>
    <col min="2" max="2" width="13.625" style="0" customWidth="1"/>
    <col min="3" max="21" width="8.625" style="0" customWidth="1"/>
    <col min="23" max="23" width="2.625" style="0" customWidth="1"/>
    <col min="24" max="24" width="13.625" style="0" customWidth="1"/>
    <col min="25" max="27" width="8.625" style="0" customWidth="1"/>
    <col min="28" max="28" width="7.625" style="0" customWidth="1"/>
    <col min="29" max="34" width="8.625" style="0" customWidth="1"/>
    <col min="36" max="36" width="2.625" style="0" customWidth="1"/>
    <col min="37" max="37" width="13.625" style="0" customWidth="1"/>
    <col min="38" max="43" width="10.625" style="0" customWidth="1"/>
    <col min="45" max="45" width="2.625" style="0" customWidth="1"/>
    <col min="46" max="46" width="13.625" style="0" customWidth="1"/>
    <col min="47" max="56" width="8.625" style="0" customWidth="1"/>
    <col min="58" max="58" width="2.625" style="0" customWidth="1"/>
    <col min="59" max="59" width="13.625" style="0" customWidth="1"/>
    <col min="60" max="69" width="8.625" style="0" customWidth="1"/>
    <col min="71" max="71" width="2.625" style="0" customWidth="1"/>
    <col min="72" max="72" width="13.625" style="0" customWidth="1"/>
  </cols>
  <sheetData>
    <row r="1" spans="1:15" ht="12">
      <c r="A1" s="1" t="s">
        <v>0</v>
      </c>
      <c r="M1" s="2"/>
      <c r="N1" s="2"/>
      <c r="O1" s="2"/>
    </row>
    <row r="2" spans="13:78" ht="12">
      <c r="M2" s="3"/>
      <c r="N2" s="3"/>
      <c r="O2" s="3"/>
      <c r="P2" s="3"/>
      <c r="Q2" s="3"/>
      <c r="R2" s="3"/>
      <c r="S2" s="3"/>
      <c r="T2" s="2"/>
      <c r="U2" s="2"/>
      <c r="W2" s="3"/>
      <c r="X2" s="3"/>
      <c r="Y2" s="3"/>
      <c r="Z2" s="3"/>
      <c r="AA2" s="3"/>
      <c r="AB2" s="3"/>
      <c r="AC2" s="3"/>
      <c r="AD2" s="2"/>
      <c r="AE2" s="2"/>
      <c r="AF2" s="3"/>
      <c r="AG2" s="3"/>
      <c r="AH2" s="3"/>
      <c r="AJ2" s="3"/>
      <c r="AK2" s="3"/>
      <c r="AL2" s="3"/>
      <c r="AM2" s="3"/>
      <c r="AN2" s="3"/>
      <c r="AO2" s="3"/>
      <c r="AP2" s="3"/>
      <c r="AQ2" s="3"/>
      <c r="AS2" s="2"/>
      <c r="AT2" s="2"/>
      <c r="AU2" s="2"/>
      <c r="AV2" s="3"/>
      <c r="AW2" s="3"/>
      <c r="AX2" s="3"/>
      <c r="AY2" s="3"/>
      <c r="AZ2" s="3"/>
      <c r="BA2" s="3"/>
      <c r="BB2" s="3"/>
      <c r="BC2" s="3"/>
      <c r="BD2" s="2"/>
      <c r="BF2" s="2"/>
      <c r="BG2" s="2"/>
      <c r="BH2" s="3"/>
      <c r="BI2" s="3"/>
      <c r="BJ2" s="3"/>
      <c r="BK2" s="3"/>
      <c r="BL2" s="3"/>
      <c r="BM2" s="2"/>
      <c r="BN2" s="2"/>
      <c r="BO2" s="2"/>
      <c r="BP2" s="2"/>
      <c r="BQ2" s="2"/>
      <c r="BS2" s="2"/>
      <c r="BT2" s="2"/>
      <c r="BU2" s="2"/>
      <c r="BV2" s="2"/>
      <c r="BW2" s="2"/>
      <c r="BX2" s="2"/>
      <c r="BY2" s="2"/>
      <c r="BZ2" s="2"/>
    </row>
    <row r="3" spans="2:71" ht="12">
      <c r="B3" s="2"/>
      <c r="I3" s="4" t="s">
        <v>1</v>
      </c>
      <c r="U3" s="3"/>
      <c r="W3" s="2"/>
      <c r="AE3" s="3"/>
      <c r="AJ3" s="2"/>
      <c r="AS3" s="2"/>
      <c r="AU3" s="3"/>
      <c r="BD3" s="3"/>
      <c r="BF3" s="2"/>
      <c r="BP3" s="3"/>
      <c r="BS3" s="2"/>
    </row>
    <row r="4" spans="1:71" ht="12">
      <c r="A4" s="1" t="s">
        <v>2</v>
      </c>
      <c r="B4" s="2"/>
      <c r="C4" s="5">
        <v>1973</v>
      </c>
      <c r="D4" s="5">
        <v>1974</v>
      </c>
      <c r="E4" s="5">
        <v>1975</v>
      </c>
      <c r="F4" s="5">
        <v>1976</v>
      </c>
      <c r="G4" s="5">
        <v>1977</v>
      </c>
      <c r="H4" s="3">
        <v>1978</v>
      </c>
      <c r="I4" s="3">
        <v>1979</v>
      </c>
      <c r="J4" s="3">
        <v>1980</v>
      </c>
      <c r="K4" s="5">
        <v>1981</v>
      </c>
      <c r="L4" s="3">
        <v>1982</v>
      </c>
      <c r="M4" s="3"/>
      <c r="T4" s="3"/>
      <c r="U4" s="3"/>
      <c r="W4" s="2"/>
      <c r="Y4" s="3"/>
      <c r="AD4" s="3"/>
      <c r="AE4" s="3"/>
      <c r="AF4" s="3"/>
      <c r="AH4" s="3"/>
      <c r="AJ4" s="2"/>
      <c r="AS4" s="2"/>
      <c r="AU4" s="3"/>
      <c r="AV4" s="3"/>
      <c r="BD4" s="3"/>
      <c r="BF4" s="2"/>
      <c r="BH4" s="3"/>
      <c r="BM4" s="3"/>
      <c r="BN4" s="3"/>
      <c r="BO4" s="3"/>
      <c r="BP4" s="3"/>
      <c r="BQ4" s="3"/>
      <c r="BS4" s="2"/>
    </row>
    <row r="6" spans="23:71" ht="12">
      <c r="W6" s="3"/>
      <c r="AJ6" s="3"/>
      <c r="AS6" s="3"/>
      <c r="BF6" s="3"/>
      <c r="BS6" s="3"/>
    </row>
    <row r="7" spans="7:34" ht="12">
      <c r="G7" s="4" t="s">
        <v>3</v>
      </c>
      <c r="AH7" s="3"/>
    </row>
    <row r="9" spans="1:78" ht="12">
      <c r="A9" s="6" t="s">
        <v>4</v>
      </c>
      <c r="C9" s="7">
        <f aca="true" t="shared" si="0" ref="C9:L9">SUM(C10:C12)</f>
        <v>27545</v>
      </c>
      <c r="D9" s="7">
        <f t="shared" si="0"/>
        <v>31845</v>
      </c>
      <c r="E9" s="7">
        <f t="shared" si="0"/>
        <v>34345</v>
      </c>
      <c r="F9" s="7">
        <f t="shared" si="0"/>
        <v>29650</v>
      </c>
      <c r="G9" s="7">
        <f t="shared" si="0"/>
        <v>29025</v>
      </c>
      <c r="H9" s="7">
        <f t="shared" si="0"/>
        <v>35090</v>
      </c>
      <c r="I9" s="7">
        <f t="shared" si="0"/>
        <v>35595</v>
      </c>
      <c r="J9" s="7">
        <f t="shared" si="0"/>
        <v>35435</v>
      </c>
      <c r="K9" s="7">
        <f t="shared" si="0"/>
        <v>33325</v>
      </c>
      <c r="L9" s="7">
        <f t="shared" si="0"/>
        <v>33020</v>
      </c>
      <c r="M9" s="7"/>
      <c r="N9" s="7"/>
      <c r="O9" s="7"/>
      <c r="P9" s="7"/>
      <c r="Q9" s="7"/>
      <c r="R9" s="7"/>
      <c r="S9" s="7"/>
      <c r="T9" s="3"/>
      <c r="U9" s="3"/>
      <c r="W9" s="2"/>
      <c r="Y9" s="3"/>
      <c r="Z9" s="3"/>
      <c r="AA9" s="3"/>
      <c r="AB9" s="3"/>
      <c r="AC9" s="3"/>
      <c r="AD9" s="3"/>
      <c r="AE9" s="3"/>
      <c r="AF9" s="3"/>
      <c r="AG9" s="3"/>
      <c r="AH9" s="3"/>
      <c r="AJ9" s="2"/>
      <c r="AL9" s="3"/>
      <c r="AM9" s="3"/>
      <c r="AN9" s="3"/>
      <c r="AO9" s="3"/>
      <c r="AP9" s="3"/>
      <c r="AQ9" s="8"/>
      <c r="AS9" s="2"/>
      <c r="AU9" s="3"/>
      <c r="AV9" s="3"/>
      <c r="AW9" s="3"/>
      <c r="AX9" s="3"/>
      <c r="AY9" s="3"/>
      <c r="AZ9" s="3"/>
      <c r="BA9" s="3"/>
      <c r="BB9" s="3"/>
      <c r="BC9" s="3"/>
      <c r="BD9" s="3"/>
      <c r="BF9" s="2"/>
      <c r="BH9" s="3"/>
      <c r="BI9" s="3"/>
      <c r="BJ9" s="3"/>
      <c r="BK9" s="3"/>
      <c r="BL9" s="3"/>
      <c r="BM9" s="3"/>
      <c r="BN9" s="3"/>
      <c r="BO9" s="3"/>
      <c r="BP9" s="3"/>
      <c r="BQ9" s="3"/>
      <c r="BS9" s="2"/>
      <c r="BU9" s="3"/>
      <c r="BV9" s="3"/>
      <c r="BW9" s="3"/>
      <c r="BX9" s="3"/>
      <c r="BY9" s="3"/>
      <c r="BZ9" s="3"/>
    </row>
    <row r="10" spans="2:78" ht="12">
      <c r="B10" s="6" t="s">
        <v>5</v>
      </c>
      <c r="C10" s="9">
        <v>10965</v>
      </c>
      <c r="D10" s="9">
        <v>12940</v>
      </c>
      <c r="E10" s="9">
        <v>14085</v>
      </c>
      <c r="F10" s="9">
        <v>11225</v>
      </c>
      <c r="G10" s="9">
        <v>11365</v>
      </c>
      <c r="H10" s="9">
        <v>14775</v>
      </c>
      <c r="I10" s="7">
        <f>292.5*50</f>
        <v>14625</v>
      </c>
      <c r="J10" s="7">
        <f>292.5*50</f>
        <v>14625</v>
      </c>
      <c r="K10" s="7">
        <f>250*50</f>
        <v>12500</v>
      </c>
      <c r="L10" s="7">
        <f>230*50</f>
        <v>11500</v>
      </c>
      <c r="M10" s="9"/>
      <c r="N10" s="9"/>
      <c r="O10" s="9"/>
      <c r="P10" s="9"/>
      <c r="Q10" s="9"/>
      <c r="R10" s="9"/>
      <c r="S10" s="9"/>
      <c r="X10" s="2"/>
      <c r="AE10" s="3"/>
      <c r="AF10" s="3"/>
      <c r="AG10" s="3"/>
      <c r="AH10" s="3"/>
      <c r="AK10" s="2"/>
      <c r="AQ10" s="8"/>
      <c r="AT10" s="2"/>
      <c r="AU10" s="8"/>
      <c r="AV10" s="8"/>
      <c r="AW10" s="8"/>
      <c r="AX10" s="8"/>
      <c r="AY10" s="8"/>
      <c r="AZ10" s="8"/>
      <c r="BA10" s="8"/>
      <c r="BB10" s="8"/>
      <c r="BC10" s="8"/>
      <c r="BD10" s="8"/>
      <c r="BG10" s="2"/>
      <c r="BH10" s="8"/>
      <c r="BI10" s="8"/>
      <c r="BJ10" s="8"/>
      <c r="BK10" s="8"/>
      <c r="BL10" s="8"/>
      <c r="BM10" s="8"/>
      <c r="BN10" s="3"/>
      <c r="BO10" s="3"/>
      <c r="BP10" s="3"/>
      <c r="BQ10" s="8"/>
      <c r="BT10" s="2"/>
      <c r="BX10" s="8"/>
      <c r="BY10" s="8"/>
      <c r="BZ10" s="8"/>
    </row>
    <row r="11" spans="2:78" ht="12">
      <c r="B11" s="6" t="s">
        <v>6</v>
      </c>
      <c r="C11" s="9">
        <v>8750</v>
      </c>
      <c r="D11" s="9">
        <v>10325</v>
      </c>
      <c r="E11" s="9">
        <v>11195</v>
      </c>
      <c r="F11" s="9">
        <v>10870</v>
      </c>
      <c r="G11" s="9">
        <v>10375</v>
      </c>
      <c r="H11" s="9">
        <v>11170</v>
      </c>
      <c r="I11" s="7">
        <f>238.8*50</f>
        <v>11940</v>
      </c>
      <c r="J11" s="7">
        <f>244.3*50</f>
        <v>12215</v>
      </c>
      <c r="K11" s="7">
        <f>232.1*50</f>
        <v>11605</v>
      </c>
      <c r="L11" s="7">
        <f>230.4*50</f>
        <v>11520</v>
      </c>
      <c r="M11" s="9"/>
      <c r="N11" s="9"/>
      <c r="O11" s="9"/>
      <c r="P11" s="9"/>
      <c r="Q11" s="9"/>
      <c r="R11" s="9"/>
      <c r="S11" s="9"/>
      <c r="X11" s="2"/>
      <c r="AE11" s="3"/>
      <c r="AF11" s="3"/>
      <c r="AG11" s="3"/>
      <c r="AH11" s="3"/>
      <c r="AK11" s="2"/>
      <c r="AQ11" s="8"/>
      <c r="AT11" s="2"/>
      <c r="AU11" s="8"/>
      <c r="AV11" s="8"/>
      <c r="AW11" s="8"/>
      <c r="AX11" s="8"/>
      <c r="AY11" s="8"/>
      <c r="AZ11" s="8"/>
      <c r="BA11" s="8"/>
      <c r="BB11" s="8"/>
      <c r="BC11" s="8"/>
      <c r="BD11" s="8"/>
      <c r="BG11" s="2"/>
      <c r="BH11" s="8"/>
      <c r="BI11" s="8"/>
      <c r="BJ11" s="8"/>
      <c r="BK11" s="8"/>
      <c r="BL11" s="8"/>
      <c r="BM11" s="8"/>
      <c r="BN11" s="3"/>
      <c r="BO11" s="3"/>
      <c r="BP11" s="3"/>
      <c r="BQ11" s="8"/>
      <c r="BT11" s="2"/>
      <c r="BX11" s="8"/>
      <c r="BY11" s="8"/>
      <c r="BZ11" s="8"/>
    </row>
    <row r="12" spans="2:78" ht="12">
      <c r="B12" s="6" t="s">
        <v>7</v>
      </c>
      <c r="C12" s="9">
        <v>7830</v>
      </c>
      <c r="D12" s="9">
        <v>8580</v>
      </c>
      <c r="E12" s="9">
        <v>9065</v>
      </c>
      <c r="F12" s="9">
        <v>7555</v>
      </c>
      <c r="G12" s="9">
        <v>7285</v>
      </c>
      <c r="H12" s="9">
        <v>9145</v>
      </c>
      <c r="I12" s="7">
        <f>180.6*50</f>
        <v>9030</v>
      </c>
      <c r="J12" s="7">
        <f>171.9*50</f>
        <v>8595</v>
      </c>
      <c r="K12" s="7">
        <f>184.4*50</f>
        <v>9220</v>
      </c>
      <c r="L12" s="7">
        <f>200*50</f>
        <v>10000</v>
      </c>
      <c r="M12" s="9"/>
      <c r="N12" s="9"/>
      <c r="O12" s="9"/>
      <c r="P12" s="9"/>
      <c r="Q12" s="9"/>
      <c r="R12" s="9"/>
      <c r="S12" s="9"/>
      <c r="X12" s="2"/>
      <c r="AE12" s="3"/>
      <c r="AF12" s="3"/>
      <c r="AG12" s="3"/>
      <c r="AH12" s="3"/>
      <c r="AK12" s="2"/>
      <c r="AQ12" s="8"/>
      <c r="AT12" s="2"/>
      <c r="AU12" s="8"/>
      <c r="AV12" s="8"/>
      <c r="AW12" s="8"/>
      <c r="AX12" s="8"/>
      <c r="AY12" s="8"/>
      <c r="AZ12" s="8"/>
      <c r="BA12" s="8"/>
      <c r="BB12" s="8"/>
      <c r="BC12" s="8"/>
      <c r="BD12" s="8"/>
      <c r="BG12" s="2"/>
      <c r="BH12" s="8"/>
      <c r="BI12" s="8"/>
      <c r="BJ12" s="8"/>
      <c r="BK12" s="8"/>
      <c r="BL12" s="8"/>
      <c r="BM12" s="8"/>
      <c r="BN12" s="3"/>
      <c r="BO12" s="3"/>
      <c r="BP12" s="3"/>
      <c r="BQ12" s="8"/>
      <c r="BT12" s="2"/>
      <c r="BX12" s="8"/>
      <c r="BY12" s="8"/>
      <c r="BZ12" s="8"/>
    </row>
    <row r="13" spans="3:78" ht="12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AQ13" s="8"/>
      <c r="BQ13" s="8"/>
      <c r="BX13" s="8"/>
      <c r="BY13" s="8"/>
      <c r="BZ13" s="8"/>
    </row>
    <row r="14" spans="1:78" ht="12">
      <c r="A14" s="6" t="s">
        <v>8</v>
      </c>
      <c r="C14" s="7">
        <f aca="true" t="shared" si="1" ref="C14:L14">SUM(C15:C20)</f>
        <v>58620</v>
      </c>
      <c r="D14" s="7">
        <f t="shared" si="1"/>
        <v>60540</v>
      </c>
      <c r="E14" s="7">
        <f t="shared" si="1"/>
        <v>65985</v>
      </c>
      <c r="F14" s="7">
        <f t="shared" si="1"/>
        <v>68475</v>
      </c>
      <c r="G14" s="7">
        <f t="shared" si="1"/>
        <v>63115</v>
      </c>
      <c r="H14" s="7">
        <f t="shared" si="1"/>
        <v>70505</v>
      </c>
      <c r="I14" s="7">
        <f t="shared" si="1"/>
        <v>74980</v>
      </c>
      <c r="J14" s="7">
        <f t="shared" si="1"/>
        <v>70645</v>
      </c>
      <c r="K14" s="7">
        <f t="shared" si="1"/>
        <v>72145</v>
      </c>
      <c r="L14" s="7">
        <f t="shared" si="1"/>
        <v>74770</v>
      </c>
      <c r="M14" s="7"/>
      <c r="N14" s="7"/>
      <c r="O14" s="7"/>
      <c r="P14" s="7"/>
      <c r="Q14" s="7"/>
      <c r="R14" s="7"/>
      <c r="S14" s="7"/>
      <c r="T14" s="3"/>
      <c r="U14" s="3"/>
      <c r="W14" s="2"/>
      <c r="Y14" s="3"/>
      <c r="Z14" s="3"/>
      <c r="AA14" s="3"/>
      <c r="AB14" s="3"/>
      <c r="AC14" s="3"/>
      <c r="AD14" s="3"/>
      <c r="AE14" s="3"/>
      <c r="AF14" s="3"/>
      <c r="AG14" s="3"/>
      <c r="AH14" s="3"/>
      <c r="AJ14" s="2"/>
      <c r="AL14" s="3"/>
      <c r="AM14" s="3"/>
      <c r="AN14" s="3"/>
      <c r="AO14" s="3"/>
      <c r="AP14" s="3"/>
      <c r="AQ14" s="8"/>
      <c r="AS14" s="2"/>
      <c r="AU14" s="3"/>
      <c r="AV14" s="3"/>
      <c r="AW14" s="3"/>
      <c r="AX14" s="3"/>
      <c r="AY14" s="3"/>
      <c r="AZ14" s="3"/>
      <c r="BA14" s="3"/>
      <c r="BB14" s="3"/>
      <c r="BC14" s="3"/>
      <c r="BD14" s="3"/>
      <c r="BF14" s="2"/>
      <c r="BH14" s="3"/>
      <c r="BI14" s="3"/>
      <c r="BJ14" s="3"/>
      <c r="BK14" s="3"/>
      <c r="BL14" s="3"/>
      <c r="BM14" s="3"/>
      <c r="BN14" s="3"/>
      <c r="BO14" s="3"/>
      <c r="BP14" s="3"/>
      <c r="BQ14" s="3"/>
      <c r="BS14" s="2"/>
      <c r="BU14" s="3"/>
      <c r="BV14" s="3"/>
      <c r="BW14" s="3"/>
      <c r="BX14" s="3"/>
      <c r="BY14" s="3"/>
      <c r="BZ14" s="3"/>
    </row>
    <row r="15" spans="2:78" ht="12">
      <c r="B15" s="6" t="s">
        <v>9</v>
      </c>
      <c r="C15" s="9">
        <v>17750</v>
      </c>
      <c r="D15" s="9">
        <v>17250</v>
      </c>
      <c r="E15" s="9">
        <v>21000</v>
      </c>
      <c r="F15" s="9">
        <v>22500</v>
      </c>
      <c r="G15" s="9">
        <v>20990</v>
      </c>
      <c r="H15" s="9">
        <v>22880</v>
      </c>
      <c r="I15" s="7">
        <f>494.4*50</f>
        <v>24720</v>
      </c>
      <c r="J15" s="7">
        <f>476.8*50</f>
        <v>23840</v>
      </c>
      <c r="K15" s="7">
        <f>462.5*50</f>
        <v>23125</v>
      </c>
      <c r="L15" s="7">
        <f>475*50</f>
        <v>23750</v>
      </c>
      <c r="M15" s="9"/>
      <c r="N15" s="9"/>
      <c r="O15" s="9"/>
      <c r="P15" s="9"/>
      <c r="Q15" s="9"/>
      <c r="R15" s="9"/>
      <c r="S15" s="9"/>
      <c r="X15" s="2"/>
      <c r="AE15" s="3"/>
      <c r="AF15" s="3"/>
      <c r="AG15" s="3"/>
      <c r="AH15" s="3"/>
      <c r="AK15" s="2"/>
      <c r="AQ15" s="8"/>
      <c r="AT15" s="2"/>
      <c r="AU15" s="8"/>
      <c r="AV15" s="8"/>
      <c r="AW15" s="8"/>
      <c r="AX15" s="8"/>
      <c r="AY15" s="8"/>
      <c r="AZ15" s="8"/>
      <c r="BA15" s="8"/>
      <c r="BB15" s="8"/>
      <c r="BC15" s="8"/>
      <c r="BD15" s="8"/>
      <c r="BG15" s="2"/>
      <c r="BH15" s="8"/>
      <c r="BI15" s="8"/>
      <c r="BJ15" s="8"/>
      <c r="BK15" s="8"/>
      <c r="BL15" s="8"/>
      <c r="BM15" s="8"/>
      <c r="BN15" s="3"/>
      <c r="BO15" s="3"/>
      <c r="BP15" s="3"/>
      <c r="BQ15" s="8"/>
      <c r="BT15" s="2"/>
      <c r="BX15" s="8"/>
      <c r="BY15" s="8"/>
      <c r="BZ15" s="8"/>
    </row>
    <row r="16" spans="2:78" ht="12">
      <c r="B16" s="6" t="s">
        <v>10</v>
      </c>
      <c r="C16" s="9">
        <v>13880</v>
      </c>
      <c r="D16" s="9">
        <v>15685</v>
      </c>
      <c r="E16" s="9">
        <v>15435</v>
      </c>
      <c r="F16" s="9">
        <v>14800</v>
      </c>
      <c r="G16" s="9">
        <v>13130</v>
      </c>
      <c r="H16" s="9">
        <v>16880</v>
      </c>
      <c r="I16" s="7">
        <f>355.9*50</f>
        <v>17795</v>
      </c>
      <c r="J16" s="7">
        <f>304.5*50</f>
        <v>15225</v>
      </c>
      <c r="K16" s="7">
        <f>315*50</f>
        <v>15750</v>
      </c>
      <c r="L16" s="7">
        <f>350.4*50</f>
        <v>17520</v>
      </c>
      <c r="M16" s="9"/>
      <c r="N16" s="9"/>
      <c r="O16" s="9"/>
      <c r="P16" s="9"/>
      <c r="Q16" s="9"/>
      <c r="R16" s="9"/>
      <c r="S16" s="9"/>
      <c r="X16" s="2"/>
      <c r="AE16" s="3"/>
      <c r="AF16" s="3"/>
      <c r="AG16" s="3"/>
      <c r="AH16" s="3"/>
      <c r="AK16" s="2"/>
      <c r="AQ16" s="8"/>
      <c r="AT16" s="2"/>
      <c r="AU16" s="8"/>
      <c r="AV16" s="8"/>
      <c r="AW16" s="8"/>
      <c r="AX16" s="8"/>
      <c r="AY16" s="8"/>
      <c r="AZ16" s="8"/>
      <c r="BA16" s="8"/>
      <c r="BB16" s="8"/>
      <c r="BC16" s="8"/>
      <c r="BD16" s="8"/>
      <c r="BG16" s="2"/>
      <c r="BH16" s="8"/>
      <c r="BI16" s="8"/>
      <c r="BJ16" s="8"/>
      <c r="BK16" s="8"/>
      <c r="BL16" s="8"/>
      <c r="BM16" s="8"/>
      <c r="BN16" s="3"/>
      <c r="BO16" s="3"/>
      <c r="BP16" s="3"/>
      <c r="BQ16" s="8"/>
      <c r="BT16" s="2"/>
      <c r="BX16" s="8"/>
      <c r="BY16" s="8"/>
      <c r="BZ16" s="8"/>
    </row>
    <row r="17" spans="2:78" ht="12">
      <c r="B17" s="6" t="s">
        <v>11</v>
      </c>
      <c r="C17" s="9">
        <v>1530</v>
      </c>
      <c r="D17" s="9">
        <v>1705</v>
      </c>
      <c r="E17" s="9">
        <v>1840</v>
      </c>
      <c r="F17" s="9">
        <v>1705</v>
      </c>
      <c r="G17" s="9">
        <v>1505</v>
      </c>
      <c r="H17" s="9">
        <v>1860</v>
      </c>
      <c r="I17" s="7">
        <f>34.6*50</f>
        <v>1730</v>
      </c>
      <c r="J17" s="7">
        <f>37.2*50</f>
        <v>1860.0000000000002</v>
      </c>
      <c r="K17" s="7">
        <f>36.1*50</f>
        <v>1805</v>
      </c>
      <c r="L17" s="7">
        <f>37.1*50</f>
        <v>1855</v>
      </c>
      <c r="M17" s="9"/>
      <c r="N17" s="9"/>
      <c r="O17" s="9"/>
      <c r="P17" s="9"/>
      <c r="Q17" s="9"/>
      <c r="R17" s="9"/>
      <c r="S17" s="9"/>
      <c r="X17" s="2"/>
      <c r="AE17" s="3"/>
      <c r="AF17" s="3"/>
      <c r="AG17" s="3"/>
      <c r="AH17" s="3"/>
      <c r="AK17" s="2"/>
      <c r="AQ17" s="8"/>
      <c r="AT17" s="2"/>
      <c r="AU17" s="8"/>
      <c r="AV17" s="8"/>
      <c r="AW17" s="8"/>
      <c r="AX17" s="8"/>
      <c r="AY17" s="8"/>
      <c r="AZ17" s="8"/>
      <c r="BA17" s="8"/>
      <c r="BB17" s="8"/>
      <c r="BC17" s="8"/>
      <c r="BD17" s="8"/>
      <c r="BG17" s="2"/>
      <c r="BH17" s="8"/>
      <c r="BI17" s="8"/>
      <c r="BJ17" s="8"/>
      <c r="BK17" s="8"/>
      <c r="BL17" s="8"/>
      <c r="BM17" s="8"/>
      <c r="BN17" s="3"/>
      <c r="BO17" s="3"/>
      <c r="BP17" s="3"/>
      <c r="BQ17" s="8"/>
      <c r="BT17" s="2"/>
      <c r="BX17" s="8"/>
      <c r="BY17" s="8"/>
      <c r="BZ17" s="8"/>
    </row>
    <row r="18" spans="2:78" ht="12">
      <c r="B18" s="6" t="s">
        <v>12</v>
      </c>
      <c r="C18" s="9">
        <v>985</v>
      </c>
      <c r="D18" s="9">
        <v>1385</v>
      </c>
      <c r="E18" s="9">
        <v>1295</v>
      </c>
      <c r="F18" s="9">
        <v>1195</v>
      </c>
      <c r="G18" s="9">
        <v>880</v>
      </c>
      <c r="H18" s="9">
        <v>1170</v>
      </c>
      <c r="I18" s="7">
        <f>27.7*50</f>
        <v>1385</v>
      </c>
      <c r="J18" s="7">
        <f>27.6*50</f>
        <v>1380</v>
      </c>
      <c r="K18" s="7">
        <f>21.4*50</f>
        <v>1070</v>
      </c>
      <c r="L18" s="7">
        <f>24.5*50</f>
        <v>1225</v>
      </c>
      <c r="M18" s="9"/>
      <c r="N18" s="9"/>
      <c r="O18" s="9"/>
      <c r="P18" s="9"/>
      <c r="Q18" s="9"/>
      <c r="R18" s="9"/>
      <c r="S18" s="9"/>
      <c r="X18" s="2"/>
      <c r="AE18" s="3"/>
      <c r="AF18" s="3"/>
      <c r="AG18" s="3"/>
      <c r="AH18" s="3"/>
      <c r="AK18" s="2"/>
      <c r="AQ18" s="8"/>
      <c r="AT18" s="2"/>
      <c r="AU18" s="8"/>
      <c r="AV18" s="8"/>
      <c r="AW18" s="8"/>
      <c r="AX18" s="8"/>
      <c r="AY18" s="8"/>
      <c r="AZ18" s="8"/>
      <c r="BA18" s="8"/>
      <c r="BB18" s="8"/>
      <c r="BC18" s="8"/>
      <c r="BD18" s="8"/>
      <c r="BG18" s="2"/>
      <c r="BH18" s="8"/>
      <c r="BI18" s="8"/>
      <c r="BJ18" s="8"/>
      <c r="BK18" s="8"/>
      <c r="BL18" s="8"/>
      <c r="BM18" s="8"/>
      <c r="BN18" s="3"/>
      <c r="BO18" s="3"/>
      <c r="BP18" s="3"/>
      <c r="BQ18" s="8"/>
      <c r="BT18" s="2"/>
      <c r="BX18" s="8"/>
      <c r="BY18" s="8"/>
      <c r="BZ18" s="8"/>
    </row>
    <row r="19" spans="2:78" ht="12">
      <c r="B19" s="6" t="s">
        <v>13</v>
      </c>
      <c r="C19" s="9">
        <v>18725</v>
      </c>
      <c r="D19" s="9">
        <v>18615</v>
      </c>
      <c r="E19" s="9">
        <v>19415</v>
      </c>
      <c r="F19" s="9">
        <v>21225</v>
      </c>
      <c r="G19" s="9">
        <v>19475</v>
      </c>
      <c r="H19" s="9">
        <v>20975</v>
      </c>
      <c r="I19" s="7">
        <f>426.9*50</f>
        <v>21345</v>
      </c>
      <c r="J19" s="7">
        <f>429.7*50</f>
        <v>21485</v>
      </c>
      <c r="K19" s="7">
        <f>462.9*50</f>
        <v>23145</v>
      </c>
      <c r="L19" s="7">
        <f>443.4*50</f>
        <v>22170</v>
      </c>
      <c r="M19" s="9"/>
      <c r="N19" s="9"/>
      <c r="O19" s="9"/>
      <c r="P19" s="9"/>
      <c r="Q19" s="9"/>
      <c r="R19" s="9"/>
      <c r="S19" s="9"/>
      <c r="X19" s="2"/>
      <c r="AE19" s="3"/>
      <c r="AF19" s="3"/>
      <c r="AG19" s="3"/>
      <c r="AH19" s="3"/>
      <c r="AK19" s="2"/>
      <c r="AQ19" s="8"/>
      <c r="AT19" s="2"/>
      <c r="AU19" s="8"/>
      <c r="AV19" s="8"/>
      <c r="AW19" s="8"/>
      <c r="AX19" s="8"/>
      <c r="AY19" s="8"/>
      <c r="AZ19" s="8"/>
      <c r="BA19" s="8"/>
      <c r="BB19" s="8"/>
      <c r="BC19" s="8"/>
      <c r="BD19" s="8"/>
      <c r="BG19" s="2"/>
      <c r="BH19" s="8"/>
      <c r="BI19" s="8"/>
      <c r="BJ19" s="8"/>
      <c r="BK19" s="8"/>
      <c r="BL19" s="8"/>
      <c r="BM19" s="8"/>
      <c r="BN19" s="3"/>
      <c r="BO19" s="3"/>
      <c r="BP19" s="3"/>
      <c r="BQ19" s="8"/>
      <c r="BT19" s="2"/>
      <c r="BX19" s="8"/>
      <c r="BY19" s="8"/>
      <c r="BZ19" s="8"/>
    </row>
    <row r="20" spans="2:78" ht="12">
      <c r="B20" s="6" t="s">
        <v>14</v>
      </c>
      <c r="C20" s="9">
        <v>5750</v>
      </c>
      <c r="D20" s="9">
        <v>5900</v>
      </c>
      <c r="E20" s="9">
        <v>7000</v>
      </c>
      <c r="F20" s="9">
        <v>7050</v>
      </c>
      <c r="G20" s="9">
        <v>7135</v>
      </c>
      <c r="H20" s="9">
        <v>6740</v>
      </c>
      <c r="I20" s="7">
        <f>160.1*50</f>
        <v>8005</v>
      </c>
      <c r="J20" s="7">
        <f>137.1*50</f>
        <v>6855</v>
      </c>
      <c r="K20" s="7">
        <f>145*50</f>
        <v>7250</v>
      </c>
      <c r="L20" s="7">
        <f>165*50</f>
        <v>8250</v>
      </c>
      <c r="M20" s="9"/>
      <c r="N20" s="9"/>
      <c r="O20" s="9"/>
      <c r="P20" s="9"/>
      <c r="Q20" s="9"/>
      <c r="R20" s="9"/>
      <c r="S20" s="9"/>
      <c r="X20" s="2"/>
      <c r="AE20" s="3"/>
      <c r="AF20" s="3"/>
      <c r="AG20" s="3"/>
      <c r="AH20" s="3"/>
      <c r="AK20" s="2"/>
      <c r="AQ20" s="8"/>
      <c r="AT20" s="2"/>
      <c r="AU20" s="8"/>
      <c r="AV20" s="8"/>
      <c r="AW20" s="8"/>
      <c r="AX20" s="8"/>
      <c r="AY20" s="8"/>
      <c r="AZ20" s="8"/>
      <c r="BA20" s="8"/>
      <c r="BB20" s="8"/>
      <c r="BC20" s="8"/>
      <c r="BD20" s="8"/>
      <c r="BG20" s="2"/>
      <c r="BH20" s="8"/>
      <c r="BI20" s="8"/>
      <c r="BJ20" s="8"/>
      <c r="BK20" s="8"/>
      <c r="BL20" s="8"/>
      <c r="BM20" s="8"/>
      <c r="BN20" s="3"/>
      <c r="BO20" s="3"/>
      <c r="BP20" s="3"/>
      <c r="BQ20" s="8"/>
      <c r="BT20" s="2"/>
      <c r="BX20" s="8"/>
      <c r="BY20" s="8"/>
      <c r="BZ20" s="8"/>
    </row>
    <row r="21" spans="3:78" ht="12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AQ21" s="8"/>
      <c r="BQ21" s="8"/>
      <c r="BX21" s="8"/>
      <c r="BY21" s="8"/>
      <c r="BZ21" s="8"/>
    </row>
    <row r="22" spans="1:78" ht="12">
      <c r="A22" s="6" t="s">
        <v>15</v>
      </c>
      <c r="C22" s="7">
        <f aca="true" t="shared" si="2" ref="C22:L22">SUM(C23:C28)</f>
        <v>20400</v>
      </c>
      <c r="D22" s="7">
        <f t="shared" si="2"/>
        <v>22175</v>
      </c>
      <c r="E22" s="7">
        <f t="shared" si="2"/>
        <v>23965</v>
      </c>
      <c r="F22" s="7">
        <f t="shared" si="2"/>
        <v>22765</v>
      </c>
      <c r="G22" s="7">
        <f t="shared" si="2"/>
        <v>22410</v>
      </c>
      <c r="H22" s="7">
        <f t="shared" si="2"/>
        <v>23715</v>
      </c>
      <c r="I22" s="7">
        <f t="shared" si="2"/>
        <v>24625</v>
      </c>
      <c r="J22" s="7">
        <f t="shared" si="2"/>
        <v>22500</v>
      </c>
      <c r="K22" s="7">
        <f t="shared" si="2"/>
        <v>22915</v>
      </c>
      <c r="L22" s="7">
        <f t="shared" si="2"/>
        <v>25435</v>
      </c>
      <c r="M22" s="7"/>
      <c r="N22" s="7"/>
      <c r="O22" s="7"/>
      <c r="P22" s="7"/>
      <c r="Q22" s="7"/>
      <c r="R22" s="7"/>
      <c r="S22" s="7"/>
      <c r="T22" s="3"/>
      <c r="U22" s="3"/>
      <c r="W22" s="2"/>
      <c r="Y22" s="3"/>
      <c r="Z22" s="3"/>
      <c r="AA22" s="3"/>
      <c r="AB22" s="3"/>
      <c r="AC22" s="3"/>
      <c r="AD22" s="3"/>
      <c r="AE22" s="3"/>
      <c r="AF22" s="3"/>
      <c r="AG22" s="3"/>
      <c r="AH22" s="3"/>
      <c r="AJ22" s="2"/>
      <c r="AL22" s="3"/>
      <c r="AM22" s="3"/>
      <c r="AN22" s="3"/>
      <c r="AO22" s="3"/>
      <c r="AP22" s="3"/>
      <c r="AQ22" s="8"/>
      <c r="AS22" s="2"/>
      <c r="AU22" s="3"/>
      <c r="AV22" s="3"/>
      <c r="AW22" s="3"/>
      <c r="AX22" s="3"/>
      <c r="AY22" s="3"/>
      <c r="AZ22" s="3"/>
      <c r="BA22" s="3"/>
      <c r="BB22" s="3"/>
      <c r="BC22" s="3"/>
      <c r="BD22" s="3"/>
      <c r="BF22" s="2"/>
      <c r="BH22" s="3"/>
      <c r="BI22" s="3"/>
      <c r="BJ22" s="3"/>
      <c r="BK22" s="3"/>
      <c r="BL22" s="3"/>
      <c r="BM22" s="3"/>
      <c r="BN22" s="3"/>
      <c r="BO22" s="3"/>
      <c r="BP22" s="3"/>
      <c r="BQ22" s="3"/>
      <c r="BS22" s="2"/>
      <c r="BU22" s="3"/>
      <c r="BV22" s="3"/>
      <c r="BW22" s="3"/>
      <c r="BX22" s="3"/>
      <c r="BY22" s="3"/>
      <c r="BZ22" s="3"/>
    </row>
    <row r="23" spans="2:78" ht="12">
      <c r="B23" s="6" t="s">
        <v>16</v>
      </c>
      <c r="C23" s="9">
        <v>6750</v>
      </c>
      <c r="D23" s="9">
        <v>7500</v>
      </c>
      <c r="E23" s="9">
        <v>8105</v>
      </c>
      <c r="F23" s="9">
        <v>7765</v>
      </c>
      <c r="G23" s="9">
        <v>7765</v>
      </c>
      <c r="H23" s="9">
        <v>8000</v>
      </c>
      <c r="I23" s="7">
        <f>181.9*50</f>
        <v>9095</v>
      </c>
      <c r="J23" s="7">
        <f>151.4*50</f>
        <v>7570</v>
      </c>
      <c r="K23" s="7">
        <f>150*50</f>
        <v>7500</v>
      </c>
      <c r="L23" s="7">
        <f>185*50</f>
        <v>9250</v>
      </c>
      <c r="M23" s="9"/>
      <c r="N23" s="9"/>
      <c r="O23" s="9"/>
      <c r="P23" s="9"/>
      <c r="Q23" s="9"/>
      <c r="R23" s="9"/>
      <c r="S23" s="9"/>
      <c r="X23" s="2"/>
      <c r="AE23" s="3"/>
      <c r="AF23" s="3"/>
      <c r="AG23" s="3"/>
      <c r="AH23" s="3"/>
      <c r="AK23" s="2"/>
      <c r="AQ23" s="8"/>
      <c r="AT23" s="2"/>
      <c r="AU23" s="8"/>
      <c r="AV23" s="8"/>
      <c r="AW23" s="8"/>
      <c r="AX23" s="8"/>
      <c r="AY23" s="8"/>
      <c r="AZ23" s="8"/>
      <c r="BA23" s="8"/>
      <c r="BB23" s="8"/>
      <c r="BC23" s="8"/>
      <c r="BD23" s="8"/>
      <c r="BG23" s="2"/>
      <c r="BH23" s="8"/>
      <c r="BI23" s="8"/>
      <c r="BJ23" s="8"/>
      <c r="BK23" s="8"/>
      <c r="BL23" s="8"/>
      <c r="BM23" s="8"/>
      <c r="BN23" s="3"/>
      <c r="BO23" s="3"/>
      <c r="BP23" s="3"/>
      <c r="BQ23" s="8"/>
      <c r="BT23" s="2"/>
      <c r="BX23" s="8"/>
      <c r="BY23" s="8"/>
      <c r="BZ23" s="8"/>
    </row>
    <row r="24" spans="2:78" ht="12">
      <c r="B24" s="6" t="s">
        <v>17</v>
      </c>
      <c r="C24" s="9">
        <v>3985</v>
      </c>
      <c r="D24" s="9">
        <v>5000</v>
      </c>
      <c r="E24" s="9">
        <v>5500</v>
      </c>
      <c r="F24" s="9">
        <v>4805</v>
      </c>
      <c r="G24" s="9">
        <v>4770</v>
      </c>
      <c r="H24" s="9">
        <v>4910</v>
      </c>
      <c r="I24" s="7">
        <f>92.3*50</f>
        <v>4615</v>
      </c>
      <c r="J24" s="7">
        <f>98.5*50</f>
        <v>4925</v>
      </c>
      <c r="K24" s="7">
        <f>87*50</f>
        <v>4350</v>
      </c>
      <c r="L24" s="7">
        <f>93.8*50</f>
        <v>4690</v>
      </c>
      <c r="M24" s="9"/>
      <c r="N24" s="9"/>
      <c r="O24" s="9"/>
      <c r="P24" s="9"/>
      <c r="Q24" s="9"/>
      <c r="R24" s="9"/>
      <c r="S24" s="9"/>
      <c r="X24" s="2"/>
      <c r="AE24" s="3"/>
      <c r="AF24" s="3"/>
      <c r="AG24" s="3"/>
      <c r="AH24" s="3"/>
      <c r="AK24" s="2"/>
      <c r="AQ24" s="8"/>
      <c r="AT24" s="2"/>
      <c r="AU24" s="8"/>
      <c r="AV24" s="8"/>
      <c r="AW24" s="8"/>
      <c r="AX24" s="8"/>
      <c r="AY24" s="8"/>
      <c r="AZ24" s="8"/>
      <c r="BA24" s="8"/>
      <c r="BB24" s="8"/>
      <c r="BC24" s="8"/>
      <c r="BD24" s="8"/>
      <c r="BG24" s="2"/>
      <c r="BH24" s="8"/>
      <c r="BI24" s="8"/>
      <c r="BJ24" s="8"/>
      <c r="BK24" s="8"/>
      <c r="BL24" s="8"/>
      <c r="BM24" s="8"/>
      <c r="BN24" s="3"/>
      <c r="BO24" s="3"/>
      <c r="BP24" s="3"/>
      <c r="BQ24" s="8"/>
      <c r="BT24" s="2"/>
      <c r="BX24" s="8"/>
      <c r="BY24" s="8"/>
      <c r="BZ24" s="8"/>
    </row>
    <row r="25" spans="2:78" ht="12">
      <c r="B25" s="6" t="s">
        <v>18</v>
      </c>
      <c r="C25" s="9">
        <v>4970</v>
      </c>
      <c r="D25" s="9">
        <v>5025</v>
      </c>
      <c r="E25" s="9">
        <v>5195</v>
      </c>
      <c r="F25" s="9">
        <v>5115</v>
      </c>
      <c r="G25" s="9">
        <v>4755</v>
      </c>
      <c r="H25" s="9">
        <v>4985</v>
      </c>
      <c r="I25" s="7">
        <f>102*50</f>
        <v>5100</v>
      </c>
      <c r="J25" s="7">
        <f>79.3*50</f>
        <v>3965</v>
      </c>
      <c r="K25" s="7">
        <f>102*50</f>
        <v>5100</v>
      </c>
      <c r="L25" s="7">
        <f>106*50</f>
        <v>5300</v>
      </c>
      <c r="M25" s="9"/>
      <c r="N25" s="9"/>
      <c r="O25" s="9"/>
      <c r="P25" s="9"/>
      <c r="Q25" s="9"/>
      <c r="R25" s="9"/>
      <c r="S25" s="9"/>
      <c r="X25" s="2"/>
      <c r="AE25" s="3"/>
      <c r="AF25" s="3"/>
      <c r="AG25" s="3"/>
      <c r="AH25" s="3"/>
      <c r="AK25" s="2"/>
      <c r="AQ25" s="8"/>
      <c r="AT25" s="2"/>
      <c r="AU25" s="8"/>
      <c r="AV25" s="8"/>
      <c r="AW25" s="8"/>
      <c r="AX25" s="8"/>
      <c r="AY25" s="8"/>
      <c r="AZ25" s="8"/>
      <c r="BA25" s="8"/>
      <c r="BB25" s="8"/>
      <c r="BC25" s="8"/>
      <c r="BD25" s="8"/>
      <c r="BG25" s="2"/>
      <c r="BH25" s="8"/>
      <c r="BI25" s="8"/>
      <c r="BJ25" s="8"/>
      <c r="BK25" s="8"/>
      <c r="BL25" s="8"/>
      <c r="BM25" s="8"/>
      <c r="BN25" s="3"/>
      <c r="BO25" s="3"/>
      <c r="BP25" s="3"/>
      <c r="BQ25" s="8"/>
      <c r="BT25" s="2"/>
      <c r="BX25" s="8"/>
      <c r="BY25" s="8"/>
      <c r="BZ25" s="8"/>
    </row>
    <row r="26" spans="2:78" ht="12">
      <c r="B26" s="6" t="s">
        <v>19</v>
      </c>
      <c r="C26" s="9">
        <v>760</v>
      </c>
      <c r="D26" s="9">
        <v>1180</v>
      </c>
      <c r="E26" s="9">
        <v>1095</v>
      </c>
      <c r="F26" s="9">
        <v>755</v>
      </c>
      <c r="G26" s="9">
        <v>990</v>
      </c>
      <c r="H26" s="9">
        <v>1170</v>
      </c>
      <c r="I26" s="7">
        <f>21.2*50</f>
        <v>1060</v>
      </c>
      <c r="J26" s="7">
        <f>24*50</f>
        <v>1200</v>
      </c>
      <c r="K26" s="7">
        <f>25.3*50</f>
        <v>1265</v>
      </c>
      <c r="L26" s="7">
        <f>23.9*50</f>
        <v>1195</v>
      </c>
      <c r="M26" s="9"/>
      <c r="N26" s="9"/>
      <c r="O26" s="9"/>
      <c r="P26" s="9"/>
      <c r="Q26" s="9"/>
      <c r="R26" s="9"/>
      <c r="S26" s="9"/>
      <c r="X26" s="2"/>
      <c r="AE26" s="3"/>
      <c r="AF26" s="3"/>
      <c r="AG26" s="3"/>
      <c r="AH26" s="3"/>
      <c r="AK26" s="2"/>
      <c r="AQ26" s="8"/>
      <c r="AT26" s="2"/>
      <c r="AU26" s="8"/>
      <c r="AV26" s="8"/>
      <c r="AW26" s="8"/>
      <c r="AX26" s="8"/>
      <c r="AY26" s="8"/>
      <c r="AZ26" s="8"/>
      <c r="BA26" s="8"/>
      <c r="BB26" s="8"/>
      <c r="BC26" s="8"/>
      <c r="BD26" s="8"/>
      <c r="BG26" s="2"/>
      <c r="BH26" s="8"/>
      <c r="BI26" s="8"/>
      <c r="BJ26" s="8"/>
      <c r="BK26" s="8"/>
      <c r="BL26" s="8"/>
      <c r="BM26" s="8"/>
      <c r="BN26" s="3"/>
      <c r="BO26" s="3"/>
      <c r="BP26" s="3"/>
      <c r="BQ26" s="8"/>
      <c r="BT26" s="2"/>
      <c r="BX26" s="8"/>
      <c r="BY26" s="8"/>
      <c r="BZ26" s="8"/>
    </row>
    <row r="27" spans="2:78" ht="12">
      <c r="B27" s="6" t="s">
        <v>20</v>
      </c>
      <c r="C27" s="9">
        <v>3100</v>
      </c>
      <c r="D27" s="9">
        <v>2615</v>
      </c>
      <c r="E27" s="9">
        <v>3140</v>
      </c>
      <c r="F27" s="9">
        <v>3435</v>
      </c>
      <c r="G27" s="9">
        <v>3270</v>
      </c>
      <c r="H27" s="9">
        <v>3745</v>
      </c>
      <c r="I27" s="7">
        <f>78.7*50</f>
        <v>3935</v>
      </c>
      <c r="J27" s="7">
        <f>77.7*50</f>
        <v>3885</v>
      </c>
      <c r="K27" s="7">
        <f>78*50</f>
        <v>3900</v>
      </c>
      <c r="L27" s="7">
        <f>81.5*50</f>
        <v>4075</v>
      </c>
      <c r="M27" s="9"/>
      <c r="N27" s="9"/>
      <c r="O27" s="9"/>
      <c r="P27" s="9"/>
      <c r="Q27" s="9"/>
      <c r="R27" s="9"/>
      <c r="S27" s="9"/>
      <c r="X27" s="2"/>
      <c r="AE27" s="3"/>
      <c r="AF27" s="3"/>
      <c r="AG27" s="3"/>
      <c r="AH27" s="3"/>
      <c r="AK27" s="2"/>
      <c r="AQ27" s="8"/>
      <c r="AT27" s="2"/>
      <c r="AU27" s="8"/>
      <c r="AV27" s="8"/>
      <c r="AW27" s="8"/>
      <c r="AX27" s="8"/>
      <c r="AY27" s="8"/>
      <c r="AZ27" s="8"/>
      <c r="BA27" s="8"/>
      <c r="BB27" s="8"/>
      <c r="BC27" s="8"/>
      <c r="BD27" s="8"/>
      <c r="BG27" s="2"/>
      <c r="BH27" s="8"/>
      <c r="BI27" s="8"/>
      <c r="BJ27" s="8"/>
      <c r="BK27" s="8"/>
      <c r="BL27" s="8"/>
      <c r="BM27" s="8"/>
      <c r="BN27" s="3"/>
      <c r="BO27" s="3"/>
      <c r="BP27" s="3"/>
      <c r="BQ27" s="8"/>
      <c r="BT27" s="2"/>
      <c r="BX27" s="8"/>
      <c r="BY27" s="8"/>
      <c r="BZ27" s="8"/>
    </row>
    <row r="28" spans="2:78" ht="12">
      <c r="B28" s="6" t="s">
        <v>21</v>
      </c>
      <c r="C28" s="9">
        <v>835</v>
      </c>
      <c r="D28" s="9">
        <v>855</v>
      </c>
      <c r="E28" s="9">
        <v>930</v>
      </c>
      <c r="F28" s="9">
        <v>890</v>
      </c>
      <c r="G28" s="9">
        <v>860</v>
      </c>
      <c r="H28" s="9">
        <v>905</v>
      </c>
      <c r="I28" s="7">
        <f>16.4*50</f>
        <v>819.9999999999999</v>
      </c>
      <c r="J28" s="7">
        <f>19.1*50</f>
        <v>955.0000000000001</v>
      </c>
      <c r="K28" s="7">
        <f>16*50</f>
        <v>800</v>
      </c>
      <c r="L28" s="7">
        <f>18.5*50</f>
        <v>925</v>
      </c>
      <c r="M28" s="9"/>
      <c r="N28" s="9"/>
      <c r="O28" s="9"/>
      <c r="P28" s="9"/>
      <c r="Q28" s="9"/>
      <c r="R28" s="9"/>
      <c r="S28" s="9"/>
      <c r="X28" s="2"/>
      <c r="AE28" s="3"/>
      <c r="AF28" s="3"/>
      <c r="AG28" s="3"/>
      <c r="AH28" s="3"/>
      <c r="AK28" s="2"/>
      <c r="AQ28" s="8"/>
      <c r="AT28" s="2"/>
      <c r="AU28" s="8"/>
      <c r="AV28" s="8"/>
      <c r="AW28" s="8"/>
      <c r="AX28" s="8"/>
      <c r="AY28" s="8"/>
      <c r="AZ28" s="8"/>
      <c r="BA28" s="8"/>
      <c r="BB28" s="8"/>
      <c r="BC28" s="8"/>
      <c r="BD28" s="8"/>
      <c r="BG28" s="2"/>
      <c r="BH28" s="8"/>
      <c r="BI28" s="8"/>
      <c r="BJ28" s="8"/>
      <c r="BK28" s="8"/>
      <c r="BL28" s="8"/>
      <c r="BM28" s="8"/>
      <c r="BN28" s="3"/>
      <c r="BO28" s="3"/>
      <c r="BP28" s="3"/>
      <c r="BQ28" s="8"/>
      <c r="BT28" s="2"/>
      <c r="BX28" s="8"/>
      <c r="BY28" s="8"/>
      <c r="BZ28" s="8"/>
    </row>
    <row r="29" spans="3:78" ht="12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AQ29" s="8"/>
      <c r="BQ29" s="8"/>
      <c r="BX29" s="8"/>
      <c r="BY29" s="8"/>
      <c r="BZ29" s="8"/>
    </row>
    <row r="30" spans="1:78" ht="12">
      <c r="A30" s="6" t="s">
        <v>22</v>
      </c>
      <c r="C30" s="7">
        <f aca="true" t="shared" si="3" ref="C30:L30">SUM(C31:C34)</f>
        <v>51075</v>
      </c>
      <c r="D30" s="7">
        <f t="shared" si="3"/>
        <v>46030</v>
      </c>
      <c r="E30" s="7">
        <f t="shared" si="3"/>
        <v>49230</v>
      </c>
      <c r="F30" s="7">
        <f t="shared" si="3"/>
        <v>53560</v>
      </c>
      <c r="G30" s="7">
        <f t="shared" si="3"/>
        <v>48390</v>
      </c>
      <c r="H30" s="7">
        <f t="shared" si="3"/>
        <v>55005</v>
      </c>
      <c r="I30" s="7">
        <f t="shared" si="3"/>
        <v>59940</v>
      </c>
      <c r="J30" s="7">
        <f t="shared" si="3"/>
        <v>54340</v>
      </c>
      <c r="K30" s="7">
        <f t="shared" si="3"/>
        <v>59040</v>
      </c>
      <c r="L30" s="7">
        <f t="shared" si="3"/>
        <v>67170</v>
      </c>
      <c r="M30" s="7"/>
      <c r="N30" s="7"/>
      <c r="O30" s="7"/>
      <c r="P30" s="7"/>
      <c r="Q30" s="7"/>
      <c r="R30" s="7"/>
      <c r="S30" s="7"/>
      <c r="T30" s="3"/>
      <c r="U30" s="3"/>
      <c r="W30" s="2"/>
      <c r="Y30" s="3"/>
      <c r="Z30" s="3"/>
      <c r="AA30" s="3"/>
      <c r="AB30" s="3"/>
      <c r="AC30" s="3"/>
      <c r="AD30" s="3"/>
      <c r="AE30" s="3"/>
      <c r="AF30" s="3"/>
      <c r="AG30" s="3"/>
      <c r="AH30" s="3"/>
      <c r="AJ30" s="2"/>
      <c r="AL30" s="3"/>
      <c r="AM30" s="3"/>
      <c r="AN30" s="3"/>
      <c r="AO30" s="3"/>
      <c r="AP30" s="3"/>
      <c r="AQ30" s="8"/>
      <c r="AS30" s="2"/>
      <c r="AU30" s="3"/>
      <c r="AV30" s="3"/>
      <c r="AW30" s="3"/>
      <c r="AX30" s="3"/>
      <c r="AY30" s="3"/>
      <c r="AZ30" s="3"/>
      <c r="BA30" s="3"/>
      <c r="BB30" s="3"/>
      <c r="BC30" s="3"/>
      <c r="BD30" s="3"/>
      <c r="BF30" s="2"/>
      <c r="BH30" s="3"/>
      <c r="BI30" s="3"/>
      <c r="BJ30" s="3"/>
      <c r="BK30" s="3"/>
      <c r="BL30" s="3"/>
      <c r="BM30" s="3"/>
      <c r="BN30" s="3"/>
      <c r="BO30" s="3"/>
      <c r="BP30" s="3"/>
      <c r="BQ30" s="3"/>
      <c r="BS30" s="2"/>
      <c r="BU30" s="3"/>
      <c r="BV30" s="3"/>
      <c r="BW30" s="3"/>
      <c r="BX30" s="3"/>
      <c r="BY30" s="3"/>
      <c r="BZ30" s="3"/>
    </row>
    <row r="31" spans="2:78" ht="12">
      <c r="B31" s="6" t="s">
        <v>23</v>
      </c>
      <c r="C31" s="9">
        <v>12505</v>
      </c>
      <c r="D31" s="9">
        <v>12335</v>
      </c>
      <c r="E31" s="9">
        <v>11225</v>
      </c>
      <c r="F31" s="9">
        <v>11965</v>
      </c>
      <c r="G31" s="9">
        <v>12240</v>
      </c>
      <c r="H31" s="9">
        <v>14670</v>
      </c>
      <c r="I31" s="7">
        <f>322.3*50</f>
        <v>16115</v>
      </c>
      <c r="J31" s="7">
        <f>287.1*50</f>
        <v>14355.000000000002</v>
      </c>
      <c r="K31" s="7">
        <f>283.9*50</f>
        <v>14194.999999999998</v>
      </c>
      <c r="L31" s="7">
        <f>342.5*50</f>
        <v>17125</v>
      </c>
      <c r="M31" s="9"/>
      <c r="N31" s="9"/>
      <c r="O31" s="9"/>
      <c r="P31" s="9"/>
      <c r="Q31" s="9"/>
      <c r="R31" s="9"/>
      <c r="S31" s="9"/>
      <c r="X31" s="2"/>
      <c r="AE31" s="3"/>
      <c r="AF31" s="3"/>
      <c r="AG31" s="3"/>
      <c r="AH31" s="3"/>
      <c r="AK31" s="2"/>
      <c r="AQ31" s="8"/>
      <c r="AT31" s="2"/>
      <c r="AU31" s="8"/>
      <c r="AV31" s="8"/>
      <c r="AW31" s="8"/>
      <c r="AX31" s="8"/>
      <c r="AY31" s="8"/>
      <c r="AZ31" s="8"/>
      <c r="BA31" s="8"/>
      <c r="BB31" s="8"/>
      <c r="BC31" s="8"/>
      <c r="BD31" s="8"/>
      <c r="BG31" s="2"/>
      <c r="BH31" s="8"/>
      <c r="BI31" s="8"/>
      <c r="BJ31" s="8"/>
      <c r="BK31" s="8"/>
      <c r="BL31" s="8"/>
      <c r="BM31" s="8"/>
      <c r="BN31" s="3"/>
      <c r="BO31" s="3"/>
      <c r="BP31" s="3"/>
      <c r="BQ31" s="8"/>
      <c r="BT31" s="2"/>
      <c r="BX31" s="8"/>
      <c r="BY31" s="8"/>
      <c r="BZ31" s="8"/>
    </row>
    <row r="32" spans="2:78" ht="12">
      <c r="B32" s="6" t="s">
        <v>24</v>
      </c>
      <c r="C32" s="9">
        <v>20585</v>
      </c>
      <c r="D32" s="9">
        <v>15665</v>
      </c>
      <c r="E32" s="9">
        <v>20350</v>
      </c>
      <c r="F32" s="9">
        <v>22235</v>
      </c>
      <c r="G32" s="9">
        <v>19045</v>
      </c>
      <c r="H32" s="9">
        <v>22900</v>
      </c>
      <c r="I32" s="7">
        <f>502.8*50</f>
        <v>25140</v>
      </c>
      <c r="J32" s="7">
        <f>471.5*50</f>
        <v>23575</v>
      </c>
      <c r="K32" s="7">
        <f>502.3*50</f>
        <v>25115</v>
      </c>
      <c r="L32" s="7">
        <f>571.1*50</f>
        <v>28555</v>
      </c>
      <c r="M32" s="9"/>
      <c r="N32" s="9"/>
      <c r="O32" s="9"/>
      <c r="P32" s="9"/>
      <c r="Q32" s="9"/>
      <c r="R32" s="9"/>
      <c r="S32" s="9"/>
      <c r="X32" s="2"/>
      <c r="AE32" s="3"/>
      <c r="AF32" s="3"/>
      <c r="AG32" s="3"/>
      <c r="AH32" s="3"/>
      <c r="AK32" s="2"/>
      <c r="AQ32" s="8"/>
      <c r="AT32" s="2"/>
      <c r="AU32" s="8"/>
      <c r="AV32" s="8"/>
      <c r="AW32" s="8"/>
      <c r="AX32" s="8"/>
      <c r="AY32" s="8"/>
      <c r="AZ32" s="8"/>
      <c r="BA32" s="8"/>
      <c r="BB32" s="8"/>
      <c r="BC32" s="8"/>
      <c r="BD32" s="8"/>
      <c r="BG32" s="2"/>
      <c r="BH32" s="8"/>
      <c r="BI32" s="8"/>
      <c r="BJ32" s="8"/>
      <c r="BK32" s="8"/>
      <c r="BL32" s="8"/>
      <c r="BM32" s="8"/>
      <c r="BN32" s="3"/>
      <c r="BO32" s="3"/>
      <c r="BP32" s="3"/>
      <c r="BQ32" s="8"/>
      <c r="BT32" s="2"/>
      <c r="BX32" s="8"/>
      <c r="BY32" s="8"/>
      <c r="BZ32" s="8"/>
    </row>
    <row r="33" spans="2:78" ht="12">
      <c r="B33" s="6" t="s">
        <v>25</v>
      </c>
      <c r="C33" s="9">
        <v>2445</v>
      </c>
      <c r="D33" s="9">
        <v>2485</v>
      </c>
      <c r="E33" s="9">
        <v>2300</v>
      </c>
      <c r="F33" s="9">
        <v>2520</v>
      </c>
      <c r="G33" s="9">
        <v>2100</v>
      </c>
      <c r="H33" s="9">
        <v>2610</v>
      </c>
      <c r="I33" s="7">
        <f>51.8*50</f>
        <v>2590</v>
      </c>
      <c r="J33" s="7">
        <f>37.4*50</f>
        <v>1870</v>
      </c>
      <c r="K33" s="7">
        <f>37.1*50</f>
        <v>1855</v>
      </c>
      <c r="L33" s="7">
        <f>43.2*50</f>
        <v>2160</v>
      </c>
      <c r="M33" s="9"/>
      <c r="N33" s="9"/>
      <c r="O33" s="9"/>
      <c r="P33" s="9"/>
      <c r="Q33" s="9"/>
      <c r="R33" s="9"/>
      <c r="S33" s="9"/>
      <c r="X33" s="2"/>
      <c r="AE33" s="3"/>
      <c r="AF33" s="3"/>
      <c r="AG33" s="3"/>
      <c r="AH33" s="3"/>
      <c r="AK33" s="2"/>
      <c r="AQ33" s="8"/>
      <c r="AT33" s="2"/>
      <c r="AU33" s="8"/>
      <c r="AV33" s="8"/>
      <c r="AW33" s="8"/>
      <c r="AX33" s="8"/>
      <c r="AY33" s="8"/>
      <c r="AZ33" s="8"/>
      <c r="BA33" s="8"/>
      <c r="BB33" s="8"/>
      <c r="BC33" s="8"/>
      <c r="BD33" s="8"/>
      <c r="BG33" s="2"/>
      <c r="BH33" s="8"/>
      <c r="BI33" s="8"/>
      <c r="BJ33" s="8"/>
      <c r="BK33" s="8"/>
      <c r="BL33" s="8"/>
      <c r="BM33" s="8"/>
      <c r="BN33" s="3"/>
      <c r="BO33" s="3"/>
      <c r="BP33" s="3"/>
      <c r="BQ33" s="8"/>
      <c r="BT33" s="2"/>
      <c r="BX33" s="8"/>
      <c r="BY33" s="8"/>
      <c r="BZ33" s="8"/>
    </row>
    <row r="34" spans="2:78" ht="12">
      <c r="B34" s="6" t="s">
        <v>26</v>
      </c>
      <c r="C34" s="9">
        <v>15540</v>
      </c>
      <c r="D34" s="9">
        <v>15545</v>
      </c>
      <c r="E34" s="9">
        <v>15355</v>
      </c>
      <c r="F34" s="9">
        <v>16840</v>
      </c>
      <c r="G34" s="9">
        <v>15005</v>
      </c>
      <c r="H34" s="9">
        <v>14825</v>
      </c>
      <c r="I34" s="7">
        <f>321.9*50</f>
        <v>16094.999999999998</v>
      </c>
      <c r="J34" s="7">
        <f>290.8*50</f>
        <v>14540</v>
      </c>
      <c r="K34" s="7">
        <f>357.5*50</f>
        <v>17875</v>
      </c>
      <c r="L34" s="7">
        <f>386.6*50</f>
        <v>19330</v>
      </c>
      <c r="M34" s="9"/>
      <c r="N34" s="9"/>
      <c r="O34" s="9"/>
      <c r="P34" s="9"/>
      <c r="Q34" s="9"/>
      <c r="R34" s="9"/>
      <c r="S34" s="9"/>
      <c r="X34" s="2"/>
      <c r="AE34" s="3"/>
      <c r="AF34" s="3"/>
      <c r="AG34" s="3"/>
      <c r="AH34" s="3"/>
      <c r="AK34" s="2"/>
      <c r="AQ34" s="8"/>
      <c r="AT34" s="2"/>
      <c r="AU34" s="8"/>
      <c r="AV34" s="8"/>
      <c r="AW34" s="8"/>
      <c r="AX34" s="8"/>
      <c r="AY34" s="8"/>
      <c r="AZ34" s="8"/>
      <c r="BA34" s="8"/>
      <c r="BB34" s="8"/>
      <c r="BC34" s="8"/>
      <c r="BD34" s="8"/>
      <c r="BG34" s="2"/>
      <c r="BH34" s="8"/>
      <c r="BI34" s="8"/>
      <c r="BJ34" s="8"/>
      <c r="BK34" s="8"/>
      <c r="BL34" s="8"/>
      <c r="BM34" s="8"/>
      <c r="BN34" s="3"/>
      <c r="BO34" s="3"/>
      <c r="BP34" s="3"/>
      <c r="BQ34" s="8"/>
      <c r="BT34" s="2"/>
      <c r="BX34" s="8"/>
      <c r="BY34" s="8"/>
      <c r="BZ34" s="8"/>
    </row>
    <row r="35" spans="3:78" ht="12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AQ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H35" s="8"/>
      <c r="BI35" s="8"/>
      <c r="BJ35" s="8"/>
      <c r="BK35" s="8"/>
      <c r="BL35" s="8"/>
      <c r="BM35" s="8"/>
      <c r="BQ35" s="8"/>
      <c r="BX35" s="8"/>
      <c r="BY35" s="8"/>
      <c r="BZ35" s="8"/>
    </row>
    <row r="36" spans="1:78" ht="12">
      <c r="A36" s="6" t="s">
        <v>27</v>
      </c>
      <c r="C36" s="7">
        <f aca="true" t="shared" si="4" ref="C36:L36">SUM(C37:C39)</f>
        <v>41000</v>
      </c>
      <c r="D36" s="7">
        <f t="shared" si="4"/>
        <v>42640</v>
      </c>
      <c r="E36" s="7">
        <f t="shared" si="4"/>
        <v>44270</v>
      </c>
      <c r="F36" s="7">
        <f t="shared" si="4"/>
        <v>45420</v>
      </c>
      <c r="G36" s="7">
        <f t="shared" si="4"/>
        <v>45285</v>
      </c>
      <c r="H36" s="7">
        <f t="shared" si="4"/>
        <v>46755</v>
      </c>
      <c r="I36" s="7">
        <f t="shared" si="4"/>
        <v>53645</v>
      </c>
      <c r="J36" s="7">
        <f t="shared" si="4"/>
        <v>49010</v>
      </c>
      <c r="K36" s="7">
        <f t="shared" si="4"/>
        <v>51460</v>
      </c>
      <c r="L36" s="7">
        <f t="shared" si="4"/>
        <v>57795</v>
      </c>
      <c r="M36" s="7"/>
      <c r="N36" s="7"/>
      <c r="O36" s="7"/>
      <c r="P36" s="7"/>
      <c r="Q36" s="7"/>
      <c r="R36" s="7"/>
      <c r="S36" s="7"/>
      <c r="T36" s="3"/>
      <c r="U36" s="3"/>
      <c r="W36" s="2"/>
      <c r="Y36" s="3"/>
      <c r="Z36" s="3"/>
      <c r="AA36" s="3"/>
      <c r="AB36" s="3"/>
      <c r="AC36" s="3"/>
      <c r="AD36" s="3"/>
      <c r="AE36" s="3"/>
      <c r="AF36" s="3"/>
      <c r="AG36" s="3"/>
      <c r="AH36" s="3"/>
      <c r="AJ36" s="2"/>
      <c r="AL36" s="3"/>
      <c r="AM36" s="3"/>
      <c r="AN36" s="3"/>
      <c r="AO36" s="3"/>
      <c r="AP36" s="3"/>
      <c r="AQ36" s="8"/>
      <c r="AS36" s="2"/>
      <c r="AU36" s="3"/>
      <c r="AV36" s="3"/>
      <c r="AW36" s="3"/>
      <c r="AX36" s="3"/>
      <c r="AY36" s="3"/>
      <c r="AZ36" s="3"/>
      <c r="BA36" s="3"/>
      <c r="BB36" s="3"/>
      <c r="BC36" s="3"/>
      <c r="BD36" s="3"/>
      <c r="BF36" s="2"/>
      <c r="BH36" s="3"/>
      <c r="BI36" s="3"/>
      <c r="BJ36" s="3"/>
      <c r="BK36" s="3"/>
      <c r="BL36" s="3"/>
      <c r="BM36" s="3"/>
      <c r="BN36" s="3"/>
      <c r="BO36" s="3"/>
      <c r="BP36" s="3"/>
      <c r="BQ36" s="3"/>
      <c r="BS36" s="2"/>
      <c r="BU36" s="3"/>
      <c r="BV36" s="3"/>
      <c r="BW36" s="3"/>
      <c r="BX36" s="3"/>
      <c r="BY36" s="3"/>
      <c r="BZ36" s="3"/>
    </row>
    <row r="37" spans="2:78" ht="12">
      <c r="B37" s="6" t="s">
        <v>28</v>
      </c>
      <c r="C37" s="9">
        <v>14740</v>
      </c>
      <c r="D37" s="9">
        <v>15760</v>
      </c>
      <c r="E37" s="9">
        <v>15615</v>
      </c>
      <c r="F37" s="9">
        <v>16980</v>
      </c>
      <c r="G37" s="9">
        <v>16165</v>
      </c>
      <c r="H37" s="9">
        <v>17255</v>
      </c>
      <c r="I37" s="7">
        <f>369.9*50</f>
        <v>18495</v>
      </c>
      <c r="J37" s="7">
        <f>307.3*50</f>
        <v>15365</v>
      </c>
      <c r="K37" s="7">
        <f>341.4*50</f>
        <v>17070</v>
      </c>
      <c r="L37" s="7">
        <f>399.2*50</f>
        <v>19960</v>
      </c>
      <c r="M37" s="9"/>
      <c r="N37" s="9"/>
      <c r="O37" s="9"/>
      <c r="P37" s="9"/>
      <c r="Q37" s="9"/>
      <c r="R37" s="9"/>
      <c r="S37" s="9"/>
      <c r="X37" s="2"/>
      <c r="AE37" s="3"/>
      <c r="AF37" s="3"/>
      <c r="AG37" s="3"/>
      <c r="AH37" s="3"/>
      <c r="AK37" s="2"/>
      <c r="AQ37" s="8"/>
      <c r="AT37" s="2"/>
      <c r="AU37" s="8"/>
      <c r="AV37" s="8"/>
      <c r="AW37" s="8"/>
      <c r="AX37" s="8"/>
      <c r="AY37" s="8"/>
      <c r="AZ37" s="8"/>
      <c r="BA37" s="8"/>
      <c r="BB37" s="8"/>
      <c r="BC37" s="8"/>
      <c r="BD37" s="8"/>
      <c r="BG37" s="2"/>
      <c r="BH37" s="8"/>
      <c r="BI37" s="8"/>
      <c r="BJ37" s="8"/>
      <c r="BK37" s="8"/>
      <c r="BL37" s="8"/>
      <c r="BM37" s="8"/>
      <c r="BN37" s="3"/>
      <c r="BO37" s="3"/>
      <c r="BP37" s="3"/>
      <c r="BQ37" s="8"/>
      <c r="BT37" s="2"/>
      <c r="BX37" s="8"/>
      <c r="BY37" s="8"/>
      <c r="BZ37" s="8"/>
    </row>
    <row r="38" spans="2:78" ht="12">
      <c r="B38" s="6" t="s">
        <v>29</v>
      </c>
      <c r="C38" s="9">
        <v>16840</v>
      </c>
      <c r="D38" s="9">
        <v>17015</v>
      </c>
      <c r="E38" s="9">
        <v>18085</v>
      </c>
      <c r="F38" s="9">
        <v>18190</v>
      </c>
      <c r="G38" s="9">
        <v>18200</v>
      </c>
      <c r="H38" s="9">
        <v>19000</v>
      </c>
      <c r="I38" s="7">
        <f>443.7*50</f>
        <v>22185</v>
      </c>
      <c r="J38" s="7">
        <f>424.9*50</f>
        <v>21245</v>
      </c>
      <c r="K38" s="7">
        <f>434.1*50</f>
        <v>21705</v>
      </c>
      <c r="L38" s="7">
        <f>475*50</f>
        <v>23750</v>
      </c>
      <c r="M38" s="9"/>
      <c r="N38" s="9"/>
      <c r="O38" s="9"/>
      <c r="P38" s="9"/>
      <c r="Q38" s="9"/>
      <c r="R38" s="9"/>
      <c r="S38" s="9"/>
      <c r="X38" s="2"/>
      <c r="AE38" s="3"/>
      <c r="AF38" s="3"/>
      <c r="AG38" s="3"/>
      <c r="AH38" s="3"/>
      <c r="AK38" s="2"/>
      <c r="AQ38" s="8"/>
      <c r="AT38" s="2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2"/>
      <c r="BH38" s="8"/>
      <c r="BI38" s="8"/>
      <c r="BJ38" s="8"/>
      <c r="BK38" s="8"/>
      <c r="BL38" s="8"/>
      <c r="BM38" s="8"/>
      <c r="BN38" s="3"/>
      <c r="BO38" s="3"/>
      <c r="BP38" s="3"/>
      <c r="BQ38" s="8"/>
      <c r="BT38" s="2"/>
      <c r="BX38" s="8"/>
      <c r="BY38" s="8"/>
      <c r="BZ38" s="8"/>
    </row>
    <row r="39" spans="2:78" ht="12">
      <c r="B39" s="6" t="s">
        <v>30</v>
      </c>
      <c r="C39" s="9">
        <v>9420</v>
      </c>
      <c r="D39" s="9">
        <v>9865</v>
      </c>
      <c r="E39" s="9">
        <v>10570</v>
      </c>
      <c r="F39" s="9">
        <v>10250</v>
      </c>
      <c r="G39" s="9">
        <v>10920</v>
      </c>
      <c r="H39" s="9">
        <v>10500</v>
      </c>
      <c r="I39" s="7">
        <f>259.3*50</f>
        <v>12965</v>
      </c>
      <c r="J39" s="7">
        <f>248*50</f>
        <v>12400</v>
      </c>
      <c r="K39" s="7">
        <f>253.7*50</f>
        <v>12685</v>
      </c>
      <c r="L39" s="7">
        <f>281.7*50</f>
        <v>14085</v>
      </c>
      <c r="M39" s="9"/>
      <c r="N39" s="9"/>
      <c r="O39" s="9"/>
      <c r="P39" s="9"/>
      <c r="Q39" s="9"/>
      <c r="R39" s="9"/>
      <c r="S39" s="9"/>
      <c r="X39" s="2"/>
      <c r="AE39" s="3"/>
      <c r="AF39" s="3"/>
      <c r="AG39" s="3"/>
      <c r="AH39" s="3"/>
      <c r="AK39" s="2"/>
      <c r="AQ39" s="8"/>
      <c r="AT39" s="2"/>
      <c r="AU39" s="8"/>
      <c r="AV39" s="8"/>
      <c r="AW39" s="8"/>
      <c r="AX39" s="8"/>
      <c r="AY39" s="8"/>
      <c r="AZ39" s="8"/>
      <c r="BA39" s="8"/>
      <c r="BB39" s="8"/>
      <c r="BC39" s="8"/>
      <c r="BD39" s="8"/>
      <c r="BG39" s="2"/>
      <c r="BH39" s="8"/>
      <c r="BI39" s="8"/>
      <c r="BJ39" s="8"/>
      <c r="BK39" s="8"/>
      <c r="BL39" s="8"/>
      <c r="BM39" s="8"/>
      <c r="BN39" s="3"/>
      <c r="BO39" s="3"/>
      <c r="BP39" s="3"/>
      <c r="BQ39" s="8"/>
      <c r="BT39" s="2"/>
      <c r="BX39" s="8"/>
      <c r="BY39" s="8"/>
      <c r="BZ39" s="8"/>
    </row>
    <row r="40" spans="3:78" ht="12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AQ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H40" s="8"/>
      <c r="BI40" s="8"/>
      <c r="BJ40" s="8"/>
      <c r="BK40" s="8"/>
      <c r="BL40" s="8"/>
      <c r="BM40" s="8"/>
      <c r="BQ40" s="8"/>
      <c r="BX40" s="8"/>
      <c r="BY40" s="8"/>
      <c r="BZ40" s="8"/>
    </row>
    <row r="41" spans="1:78" ht="12">
      <c r="A41" s="6" t="s">
        <v>31</v>
      </c>
      <c r="C41" s="7">
        <f aca="true" t="shared" si="5" ref="C41:L41">SUM(C42:C44)</f>
        <v>30940</v>
      </c>
      <c r="D41" s="7">
        <f t="shared" si="5"/>
        <v>33385</v>
      </c>
      <c r="E41" s="7">
        <f t="shared" si="5"/>
        <v>33935</v>
      </c>
      <c r="F41" s="7">
        <f t="shared" si="5"/>
        <v>32670</v>
      </c>
      <c r="G41" s="7">
        <f t="shared" si="5"/>
        <v>35200</v>
      </c>
      <c r="H41" s="7">
        <f t="shared" si="5"/>
        <v>34405</v>
      </c>
      <c r="I41" s="7">
        <f t="shared" si="5"/>
        <v>36735</v>
      </c>
      <c r="J41" s="7">
        <f t="shared" si="5"/>
        <v>38010</v>
      </c>
      <c r="K41" s="7">
        <f t="shared" si="5"/>
        <v>36150</v>
      </c>
      <c r="L41" s="7">
        <f t="shared" si="5"/>
        <v>41440</v>
      </c>
      <c r="M41" s="7"/>
      <c r="N41" s="7"/>
      <c r="O41" s="7"/>
      <c r="P41" s="7"/>
      <c r="Q41" s="7"/>
      <c r="R41" s="7"/>
      <c r="S41" s="7"/>
      <c r="T41" s="3"/>
      <c r="U41" s="3"/>
      <c r="W41" s="2"/>
      <c r="Y41" s="3"/>
      <c r="Z41" s="3"/>
      <c r="AA41" s="3"/>
      <c r="AB41" s="3"/>
      <c r="AC41" s="3"/>
      <c r="AD41" s="3"/>
      <c r="AE41" s="3"/>
      <c r="AF41" s="3"/>
      <c r="AG41" s="3"/>
      <c r="AH41" s="3"/>
      <c r="AJ41" s="2"/>
      <c r="AL41" s="3"/>
      <c r="AM41" s="3"/>
      <c r="AN41" s="3"/>
      <c r="AO41" s="3"/>
      <c r="AP41" s="3"/>
      <c r="AQ41" s="8"/>
      <c r="AS41" s="2"/>
      <c r="AU41" s="3"/>
      <c r="AV41" s="3"/>
      <c r="AW41" s="3"/>
      <c r="AX41" s="3"/>
      <c r="AY41" s="3"/>
      <c r="AZ41" s="3"/>
      <c r="BA41" s="3"/>
      <c r="BB41" s="3"/>
      <c r="BC41" s="3"/>
      <c r="BD41" s="3"/>
      <c r="BF41" s="2"/>
      <c r="BH41" s="3"/>
      <c r="BI41" s="3"/>
      <c r="BJ41" s="3"/>
      <c r="BK41" s="3"/>
      <c r="BL41" s="3"/>
      <c r="BM41" s="3"/>
      <c r="BN41" s="3"/>
      <c r="BO41" s="3"/>
      <c r="BP41" s="3"/>
      <c r="BQ41" s="3"/>
      <c r="BS41" s="2"/>
      <c r="BU41" s="3"/>
      <c r="BV41" s="3"/>
      <c r="BW41" s="3"/>
      <c r="BX41" s="3"/>
      <c r="BY41" s="3"/>
      <c r="BZ41" s="3"/>
    </row>
    <row r="42" spans="2:78" ht="12">
      <c r="B42" s="6" t="s">
        <v>32</v>
      </c>
      <c r="C42" s="9">
        <v>14850</v>
      </c>
      <c r="D42" s="9">
        <v>16720</v>
      </c>
      <c r="E42" s="9">
        <v>16260</v>
      </c>
      <c r="F42" s="9">
        <v>15915</v>
      </c>
      <c r="G42" s="9">
        <v>17520</v>
      </c>
      <c r="H42" s="9">
        <v>16320</v>
      </c>
      <c r="I42" s="7">
        <f>347.6*50</f>
        <v>17380</v>
      </c>
      <c r="J42" s="7">
        <f>361.7*50</f>
        <v>18085</v>
      </c>
      <c r="K42" s="7">
        <f>331.1*50</f>
        <v>16555</v>
      </c>
      <c r="L42" s="7">
        <f>388.6*50</f>
        <v>19430</v>
      </c>
      <c r="M42" s="9"/>
      <c r="N42" s="9"/>
      <c r="O42" s="9"/>
      <c r="P42" s="9"/>
      <c r="Q42" s="9"/>
      <c r="R42" s="9"/>
      <c r="S42" s="9"/>
      <c r="X42" s="2"/>
      <c r="AE42" s="3"/>
      <c r="AF42" s="3"/>
      <c r="AG42" s="3"/>
      <c r="AH42" s="3"/>
      <c r="AK42" s="2"/>
      <c r="AQ42" s="8"/>
      <c r="AT42" s="2"/>
      <c r="AU42" s="8"/>
      <c r="AV42" s="8"/>
      <c r="AW42" s="8"/>
      <c r="AX42" s="8"/>
      <c r="AY42" s="8"/>
      <c r="AZ42" s="8"/>
      <c r="BA42" s="8"/>
      <c r="BB42" s="8"/>
      <c r="BC42" s="8"/>
      <c r="BD42" s="8"/>
      <c r="BG42" s="2"/>
      <c r="BH42" s="8"/>
      <c r="BI42" s="8"/>
      <c r="BJ42" s="8"/>
      <c r="BK42" s="8"/>
      <c r="BL42" s="8"/>
      <c r="BM42" s="8"/>
      <c r="BN42" s="3"/>
      <c r="BO42" s="3"/>
      <c r="BP42" s="3"/>
      <c r="BQ42" s="8"/>
      <c r="BT42" s="2"/>
      <c r="BX42" s="8"/>
      <c r="BY42" s="8"/>
      <c r="BZ42" s="8"/>
    </row>
    <row r="43" spans="2:78" ht="12">
      <c r="B43" s="6" t="s">
        <v>33</v>
      </c>
      <c r="C43" s="9">
        <v>10040</v>
      </c>
      <c r="D43" s="9">
        <v>10350</v>
      </c>
      <c r="E43" s="9">
        <v>11270</v>
      </c>
      <c r="F43" s="9">
        <v>10750</v>
      </c>
      <c r="G43" s="9">
        <v>11150</v>
      </c>
      <c r="H43" s="9">
        <v>10825</v>
      </c>
      <c r="I43" s="7">
        <f>234.6*50</f>
        <v>11730</v>
      </c>
      <c r="J43" s="7">
        <f>238.1*50</f>
        <v>11905</v>
      </c>
      <c r="K43" s="7">
        <f>229.9*50</f>
        <v>11495</v>
      </c>
      <c r="L43" s="7">
        <f>270.6*50</f>
        <v>13530.000000000002</v>
      </c>
      <c r="M43" s="9"/>
      <c r="N43" s="9"/>
      <c r="O43" s="9"/>
      <c r="P43" s="9"/>
      <c r="Q43" s="9"/>
      <c r="R43" s="9"/>
      <c r="S43" s="9"/>
      <c r="X43" s="2"/>
      <c r="AE43" s="3"/>
      <c r="AF43" s="3"/>
      <c r="AG43" s="3"/>
      <c r="AH43" s="3"/>
      <c r="AK43" s="2"/>
      <c r="AQ43" s="8"/>
      <c r="AT43" s="2"/>
      <c r="AU43" s="8"/>
      <c r="AV43" s="8"/>
      <c r="AW43" s="8"/>
      <c r="AX43" s="8"/>
      <c r="AY43" s="8"/>
      <c r="AZ43" s="8"/>
      <c r="BA43" s="8"/>
      <c r="BB43" s="8"/>
      <c r="BC43" s="8"/>
      <c r="BD43" s="8"/>
      <c r="BG43" s="2"/>
      <c r="BH43" s="8"/>
      <c r="BI43" s="8"/>
      <c r="BJ43" s="8"/>
      <c r="BK43" s="8"/>
      <c r="BL43" s="8"/>
      <c r="BM43" s="8"/>
      <c r="BN43" s="3"/>
      <c r="BO43" s="3"/>
      <c r="BP43" s="3"/>
      <c r="BQ43" s="8"/>
      <c r="BT43" s="2"/>
      <c r="BX43" s="8"/>
      <c r="BY43" s="8"/>
      <c r="BZ43" s="8"/>
    </row>
    <row r="44" spans="2:78" ht="12">
      <c r="B44" s="6" t="s">
        <v>34</v>
      </c>
      <c r="C44" s="9">
        <v>6050</v>
      </c>
      <c r="D44" s="9">
        <v>6315</v>
      </c>
      <c r="E44" s="9">
        <v>6405</v>
      </c>
      <c r="F44" s="9">
        <v>6005</v>
      </c>
      <c r="G44" s="9">
        <v>6530</v>
      </c>
      <c r="H44" s="9">
        <v>7260</v>
      </c>
      <c r="I44" s="7">
        <v>7625</v>
      </c>
      <c r="J44" s="7">
        <f>160.4*50</f>
        <v>8020</v>
      </c>
      <c r="K44" s="7">
        <f>162*50</f>
        <v>8100</v>
      </c>
      <c r="L44" s="7">
        <f>169.6*50</f>
        <v>8480</v>
      </c>
      <c r="M44" s="9"/>
      <c r="N44" s="9"/>
      <c r="O44" s="9"/>
      <c r="P44" s="9"/>
      <c r="Q44" s="9"/>
      <c r="R44" s="9"/>
      <c r="S44" s="9"/>
      <c r="X44" s="2"/>
      <c r="AE44" s="3"/>
      <c r="AF44" s="3"/>
      <c r="AG44" s="3"/>
      <c r="AH44" s="3"/>
      <c r="AK44" s="2"/>
      <c r="AQ44" s="8"/>
      <c r="AT44" s="2"/>
      <c r="AU44" s="8"/>
      <c r="AV44" s="8"/>
      <c r="AW44" s="8"/>
      <c r="AX44" s="8"/>
      <c r="AY44" s="8"/>
      <c r="AZ44" s="8"/>
      <c r="BA44" s="8"/>
      <c r="BB44" s="8"/>
      <c r="BC44" s="8"/>
      <c r="BD44" s="8"/>
      <c r="BG44" s="2"/>
      <c r="BH44" s="8"/>
      <c r="BI44" s="8"/>
      <c r="BJ44" s="8"/>
      <c r="BK44" s="8"/>
      <c r="BL44" s="8"/>
      <c r="BM44" s="8"/>
      <c r="BN44" s="3"/>
      <c r="BO44" s="3"/>
      <c r="BP44" s="3"/>
      <c r="BQ44" s="8"/>
      <c r="BT44" s="2"/>
      <c r="BX44" s="8"/>
      <c r="BY44" s="8"/>
      <c r="BZ44" s="8"/>
    </row>
    <row r="45" spans="2:43" ht="12">
      <c r="B45" s="1" t="s">
        <v>35</v>
      </c>
      <c r="C45" s="10" t="s">
        <v>36</v>
      </c>
      <c r="D45" s="10" t="s">
        <v>36</v>
      </c>
      <c r="E45" s="10" t="s">
        <v>36</v>
      </c>
      <c r="F45" s="10" t="s">
        <v>36</v>
      </c>
      <c r="G45" s="10" t="s">
        <v>36</v>
      </c>
      <c r="H45" s="10" t="s">
        <v>36</v>
      </c>
      <c r="I45" s="10" t="s">
        <v>36</v>
      </c>
      <c r="J45" s="10" t="s">
        <v>36</v>
      </c>
      <c r="K45" s="10" t="s">
        <v>36</v>
      </c>
      <c r="L45" s="10" t="s">
        <v>36</v>
      </c>
      <c r="M45" s="9"/>
      <c r="N45" s="9"/>
      <c r="O45" s="9"/>
      <c r="P45" s="9"/>
      <c r="Q45" s="9"/>
      <c r="R45" s="9"/>
      <c r="S45" s="9"/>
      <c r="AQ45" s="8"/>
    </row>
    <row r="46" spans="3:78" ht="12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AQ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H46" s="8"/>
      <c r="BI46" s="8"/>
      <c r="BJ46" s="8"/>
      <c r="BK46" s="8"/>
      <c r="BL46" s="8"/>
      <c r="BM46" s="8"/>
      <c r="BQ46" s="8"/>
      <c r="BX46" s="8"/>
      <c r="BY46" s="8"/>
      <c r="BZ46" s="8"/>
    </row>
    <row r="47" spans="1:78" ht="12">
      <c r="A47" s="6" t="s">
        <v>37</v>
      </c>
      <c r="C47" s="7">
        <f aca="true" t="shared" si="6" ref="C47:L47">SUM(C48:C51)</f>
        <v>40060</v>
      </c>
      <c r="D47" s="7">
        <f t="shared" si="6"/>
        <v>38295</v>
      </c>
      <c r="E47" s="7">
        <f t="shared" si="6"/>
        <v>39625</v>
      </c>
      <c r="F47" s="7">
        <f t="shared" si="6"/>
        <v>39210</v>
      </c>
      <c r="G47" s="7">
        <f t="shared" si="6"/>
        <v>43690</v>
      </c>
      <c r="H47" s="7">
        <f t="shared" si="6"/>
        <v>47555</v>
      </c>
      <c r="I47" s="7">
        <f t="shared" si="6"/>
        <v>48200</v>
      </c>
      <c r="J47" s="7">
        <f t="shared" si="6"/>
        <v>50005</v>
      </c>
      <c r="K47" s="7">
        <f t="shared" si="6"/>
        <v>49985</v>
      </c>
      <c r="L47" s="7">
        <f t="shared" si="6"/>
        <v>54870</v>
      </c>
      <c r="M47" s="7"/>
      <c r="N47" s="7"/>
      <c r="O47" s="7"/>
      <c r="P47" s="7"/>
      <c r="Q47" s="7"/>
      <c r="R47" s="7"/>
      <c r="S47" s="7"/>
      <c r="T47" s="3"/>
      <c r="U47" s="3"/>
      <c r="W47" s="2"/>
      <c r="Y47" s="3"/>
      <c r="Z47" s="3"/>
      <c r="AA47" s="3"/>
      <c r="AB47" s="3"/>
      <c r="AC47" s="3"/>
      <c r="AD47" s="3"/>
      <c r="AE47" s="3"/>
      <c r="AF47" s="3"/>
      <c r="AG47" s="3"/>
      <c r="AH47" s="3"/>
      <c r="AJ47" s="2"/>
      <c r="AL47" s="3"/>
      <c r="AM47" s="3"/>
      <c r="AN47" s="3"/>
      <c r="AO47" s="3"/>
      <c r="AP47" s="3"/>
      <c r="AQ47" s="8"/>
      <c r="AS47" s="2"/>
      <c r="AU47" s="3"/>
      <c r="AV47" s="3"/>
      <c r="AW47" s="3"/>
      <c r="AX47" s="3"/>
      <c r="AY47" s="3"/>
      <c r="AZ47" s="3"/>
      <c r="BA47" s="3"/>
      <c r="BB47" s="3"/>
      <c r="BC47" s="3"/>
      <c r="BD47" s="3"/>
      <c r="BF47" s="2"/>
      <c r="BH47" s="3"/>
      <c r="BI47" s="3"/>
      <c r="BJ47" s="3"/>
      <c r="BK47" s="3"/>
      <c r="BL47" s="3"/>
      <c r="BM47" s="3"/>
      <c r="BN47" s="3"/>
      <c r="BO47" s="3"/>
      <c r="BP47" s="3"/>
      <c r="BQ47" s="3"/>
      <c r="BS47" s="2"/>
      <c r="BU47" s="3"/>
      <c r="BV47" s="3"/>
      <c r="BW47" s="3"/>
      <c r="BX47" s="3"/>
      <c r="BY47" s="3"/>
      <c r="BZ47" s="3"/>
    </row>
    <row r="48" spans="2:78" ht="12">
      <c r="B48" s="6" t="s">
        <v>38</v>
      </c>
      <c r="C48" s="9">
        <v>25705</v>
      </c>
      <c r="D48" s="9">
        <v>25615</v>
      </c>
      <c r="E48" s="9">
        <v>25805</v>
      </c>
      <c r="F48" s="9">
        <v>25420</v>
      </c>
      <c r="G48" s="9">
        <v>29230</v>
      </c>
      <c r="H48" s="9">
        <v>31965</v>
      </c>
      <c r="I48" s="7">
        <v>33615</v>
      </c>
      <c r="J48" s="7">
        <v>34365</v>
      </c>
      <c r="K48" s="7">
        <f>693.1*50</f>
        <v>34655</v>
      </c>
      <c r="L48" s="7">
        <v>38420</v>
      </c>
      <c r="M48" s="9"/>
      <c r="N48" s="9"/>
      <c r="O48" s="9"/>
      <c r="P48" s="9"/>
      <c r="Q48" s="9"/>
      <c r="R48" s="9"/>
      <c r="S48" s="9"/>
      <c r="X48" s="2"/>
      <c r="AE48" s="3"/>
      <c r="AF48" s="3"/>
      <c r="AG48" s="3"/>
      <c r="AH48" s="3"/>
      <c r="AK48" s="2"/>
      <c r="AQ48" s="8"/>
      <c r="AT48" s="2"/>
      <c r="AU48" s="8"/>
      <c r="AV48" s="8"/>
      <c r="AW48" s="8"/>
      <c r="AX48" s="8"/>
      <c r="AY48" s="8"/>
      <c r="AZ48" s="8"/>
      <c r="BA48" s="8"/>
      <c r="BB48" s="8"/>
      <c r="BC48" s="8"/>
      <c r="BD48" s="8"/>
      <c r="BG48" s="2"/>
      <c r="BH48" s="8"/>
      <c r="BI48" s="8"/>
      <c r="BJ48" s="8"/>
      <c r="BK48" s="8"/>
      <c r="BL48" s="8"/>
      <c r="BM48" s="8"/>
      <c r="BN48" s="3"/>
      <c r="BO48" s="3"/>
      <c r="BP48" s="3"/>
      <c r="BQ48" s="8"/>
      <c r="BT48" s="2"/>
      <c r="BX48" s="8"/>
      <c r="BY48" s="8"/>
      <c r="BZ48" s="8"/>
    </row>
    <row r="49" spans="2:78" ht="12">
      <c r="B49" s="6" t="s">
        <v>39</v>
      </c>
      <c r="C49" s="9">
        <v>5990</v>
      </c>
      <c r="D49" s="9">
        <v>5440</v>
      </c>
      <c r="E49" s="9">
        <v>5385</v>
      </c>
      <c r="F49" s="9">
        <v>5695</v>
      </c>
      <c r="G49" s="9">
        <v>6660</v>
      </c>
      <c r="H49" s="9">
        <v>6435</v>
      </c>
      <c r="I49" s="7">
        <f>124.6*50</f>
        <v>6230</v>
      </c>
      <c r="J49" s="7">
        <f>129.6*50</f>
        <v>6480</v>
      </c>
      <c r="K49" s="7">
        <f>113.5*50</f>
        <v>5675</v>
      </c>
      <c r="L49" s="7">
        <f>130.8*50</f>
        <v>6540.000000000001</v>
      </c>
      <c r="M49" s="9"/>
      <c r="N49" s="9"/>
      <c r="O49" s="9"/>
      <c r="P49" s="9"/>
      <c r="Q49" s="9"/>
      <c r="R49" s="9"/>
      <c r="S49" s="9"/>
      <c r="X49" s="2"/>
      <c r="AE49" s="3"/>
      <c r="AF49" s="3"/>
      <c r="AG49" s="3"/>
      <c r="AH49" s="3"/>
      <c r="AK49" s="2"/>
      <c r="AQ49" s="8"/>
      <c r="AT49" s="2"/>
      <c r="AU49" s="8"/>
      <c r="AV49" s="8"/>
      <c r="AW49" s="8"/>
      <c r="AX49" s="8"/>
      <c r="AY49" s="8"/>
      <c r="AZ49" s="8"/>
      <c r="BA49" s="8"/>
      <c r="BB49" s="8"/>
      <c r="BC49" s="8"/>
      <c r="BD49" s="8"/>
      <c r="BG49" s="2"/>
      <c r="BH49" s="8"/>
      <c r="BI49" s="8"/>
      <c r="BJ49" s="8"/>
      <c r="BK49" s="8"/>
      <c r="BL49" s="8"/>
      <c r="BM49" s="8"/>
      <c r="BN49" s="3"/>
      <c r="BO49" s="3"/>
      <c r="BP49" s="3"/>
      <c r="BQ49" s="8"/>
      <c r="BT49" s="2"/>
      <c r="BU49" s="8"/>
      <c r="BW49" s="8"/>
      <c r="BX49" s="8"/>
      <c r="BY49" s="8"/>
      <c r="BZ49" s="8"/>
    </row>
    <row r="50" spans="2:78" ht="12">
      <c r="B50" s="6" t="s">
        <v>40</v>
      </c>
      <c r="C50" s="9">
        <v>7990</v>
      </c>
      <c r="D50" s="9">
        <v>6805</v>
      </c>
      <c r="E50" s="9">
        <v>7990</v>
      </c>
      <c r="F50" s="9">
        <v>7615</v>
      </c>
      <c r="G50" s="9">
        <v>7300</v>
      </c>
      <c r="H50" s="9">
        <v>8640</v>
      </c>
      <c r="I50" s="7">
        <f>158.6*50</f>
        <v>7930</v>
      </c>
      <c r="J50" s="7">
        <f>173.1*50</f>
        <v>8655</v>
      </c>
      <c r="K50" s="7">
        <f>183.4*50</f>
        <v>9170</v>
      </c>
      <c r="L50" s="7">
        <f>189.2*50</f>
        <v>9460</v>
      </c>
      <c r="M50" s="9"/>
      <c r="N50" s="9"/>
      <c r="O50" s="9"/>
      <c r="P50" s="9"/>
      <c r="Q50" s="9"/>
      <c r="R50" s="9"/>
      <c r="S50" s="9"/>
      <c r="X50" s="2"/>
      <c r="AE50" s="3"/>
      <c r="AF50" s="3"/>
      <c r="AG50" s="3"/>
      <c r="AH50" s="3"/>
      <c r="AK50" s="2"/>
      <c r="AQ50" s="8"/>
      <c r="AT50" s="2"/>
      <c r="AU50" s="8"/>
      <c r="AV50" s="8"/>
      <c r="AW50" s="8"/>
      <c r="AX50" s="8"/>
      <c r="AY50" s="8"/>
      <c r="AZ50" s="8"/>
      <c r="BA50" s="8"/>
      <c r="BB50" s="8"/>
      <c r="BC50" s="8"/>
      <c r="BD50" s="8"/>
      <c r="BG50" s="2"/>
      <c r="BH50" s="8"/>
      <c r="BI50" s="8"/>
      <c r="BJ50" s="8"/>
      <c r="BK50" s="8"/>
      <c r="BL50" s="8"/>
      <c r="BM50" s="8"/>
      <c r="BN50" s="3"/>
      <c r="BO50" s="3"/>
      <c r="BP50" s="3"/>
      <c r="BQ50" s="8"/>
      <c r="BT50" s="2"/>
      <c r="BU50" s="8"/>
      <c r="BV50" s="8"/>
      <c r="BW50" s="8"/>
      <c r="BX50" s="8"/>
      <c r="BY50" s="8"/>
      <c r="BZ50" s="8"/>
    </row>
    <row r="51" spans="2:78" ht="12">
      <c r="B51" s="6" t="s">
        <v>41</v>
      </c>
      <c r="C51" s="9">
        <v>375</v>
      </c>
      <c r="D51" s="9">
        <v>435</v>
      </c>
      <c r="E51" s="9">
        <v>445</v>
      </c>
      <c r="F51" s="9">
        <v>480</v>
      </c>
      <c r="G51" s="9">
        <v>500</v>
      </c>
      <c r="H51" s="9">
        <v>515</v>
      </c>
      <c r="I51" s="7">
        <v>425</v>
      </c>
      <c r="J51" s="7">
        <f>10.1*50</f>
        <v>505</v>
      </c>
      <c r="K51" s="7">
        <f>9.7*50</f>
        <v>484.99999999999994</v>
      </c>
      <c r="L51" s="7">
        <f>9*50</f>
        <v>450</v>
      </c>
      <c r="M51" s="9"/>
      <c r="N51" s="9"/>
      <c r="O51" s="9"/>
      <c r="P51" s="9"/>
      <c r="Q51" s="9"/>
      <c r="R51" s="9"/>
      <c r="S51" s="9"/>
      <c r="X51" s="2"/>
      <c r="AE51" s="3"/>
      <c r="AF51" s="3"/>
      <c r="AG51" s="3"/>
      <c r="AH51" s="3"/>
      <c r="AK51" s="2"/>
      <c r="AQ51" s="8"/>
      <c r="AT51" s="2"/>
      <c r="AU51" s="8"/>
      <c r="AV51" s="8"/>
      <c r="AW51" s="8"/>
      <c r="AX51" s="8"/>
      <c r="AY51" s="8"/>
      <c r="AZ51" s="8"/>
      <c r="BA51" s="8"/>
      <c r="BB51" s="8"/>
      <c r="BC51" s="8"/>
      <c r="BD51" s="8"/>
      <c r="BG51" s="2"/>
      <c r="BH51" s="8"/>
      <c r="BI51" s="8"/>
      <c r="BJ51" s="8"/>
      <c r="BK51" s="8"/>
      <c r="BL51" s="8"/>
      <c r="BM51" s="8"/>
      <c r="BN51" s="3"/>
      <c r="BO51" s="3"/>
      <c r="BP51" s="3"/>
      <c r="BQ51" s="8"/>
      <c r="BT51" s="2"/>
      <c r="BU51" s="8"/>
      <c r="BV51" s="8"/>
      <c r="BW51" s="8"/>
      <c r="BX51" s="8"/>
      <c r="BY51" s="8"/>
      <c r="BZ51" s="8"/>
    </row>
    <row r="52" spans="3:78" ht="12"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AQ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H52" s="8"/>
      <c r="BI52" s="8"/>
      <c r="BJ52" s="8"/>
      <c r="BK52" s="8"/>
      <c r="BL52" s="8"/>
      <c r="BM52" s="8"/>
      <c r="BQ52" s="8"/>
      <c r="BX52" s="8"/>
      <c r="BY52" s="8"/>
      <c r="BZ52" s="8"/>
    </row>
    <row r="53" spans="1:78" ht="12">
      <c r="A53" s="6" t="s">
        <v>42</v>
      </c>
      <c r="C53" s="7">
        <f aca="true" t="shared" si="7" ref="C53:L53">SUM(C9,C14,C22,C30,C36,C41,C47)</f>
        <v>269640</v>
      </c>
      <c r="D53" s="7">
        <f t="shared" si="7"/>
        <v>274910</v>
      </c>
      <c r="E53" s="7">
        <f t="shared" si="7"/>
        <v>291355</v>
      </c>
      <c r="F53" s="7">
        <f t="shared" si="7"/>
        <v>291750</v>
      </c>
      <c r="G53" s="7">
        <f t="shared" si="7"/>
        <v>287115</v>
      </c>
      <c r="H53" s="7">
        <f t="shared" si="7"/>
        <v>313030</v>
      </c>
      <c r="I53" s="7">
        <f t="shared" si="7"/>
        <v>333720</v>
      </c>
      <c r="J53" s="7">
        <f t="shared" si="7"/>
        <v>319945</v>
      </c>
      <c r="K53" s="7">
        <f t="shared" si="7"/>
        <v>325020</v>
      </c>
      <c r="L53" s="7">
        <f t="shared" si="7"/>
        <v>354500</v>
      </c>
      <c r="M53" s="7"/>
      <c r="N53" s="7"/>
      <c r="O53" s="7"/>
      <c r="P53" s="7"/>
      <c r="Q53" s="7"/>
      <c r="R53" s="7"/>
      <c r="S53" s="7"/>
      <c r="T53" s="3"/>
      <c r="U53" s="3"/>
      <c r="W53" s="2"/>
      <c r="Y53" s="3"/>
      <c r="Z53" s="3"/>
      <c r="AA53" s="3"/>
      <c r="AB53" s="3"/>
      <c r="AC53" s="3"/>
      <c r="AD53" s="3"/>
      <c r="AE53" s="3"/>
      <c r="AF53" s="3"/>
      <c r="AG53" s="3"/>
      <c r="AH53" s="3"/>
      <c r="AJ53" s="2"/>
      <c r="AL53" s="3"/>
      <c r="AM53" s="3"/>
      <c r="AN53" s="3"/>
      <c r="AO53" s="3"/>
      <c r="AP53" s="3"/>
      <c r="AQ53" s="8"/>
      <c r="AS53" s="2"/>
      <c r="AU53" s="3"/>
      <c r="AV53" s="3"/>
      <c r="AW53" s="3"/>
      <c r="AX53" s="3"/>
      <c r="AY53" s="3"/>
      <c r="AZ53" s="3"/>
      <c r="BA53" s="3"/>
      <c r="BB53" s="3"/>
      <c r="BC53" s="3"/>
      <c r="BD53" s="3"/>
      <c r="BF53" s="2"/>
      <c r="BH53" s="3"/>
      <c r="BI53" s="3"/>
      <c r="BJ53" s="3"/>
      <c r="BK53" s="3"/>
      <c r="BL53" s="3"/>
      <c r="BM53" s="3"/>
      <c r="BN53" s="3"/>
      <c r="BO53" s="3"/>
      <c r="BP53" s="3"/>
      <c r="BQ53" s="3"/>
      <c r="BS53" s="2"/>
      <c r="BU53" s="3"/>
      <c r="BV53" s="3"/>
      <c r="BW53" s="3"/>
      <c r="BX53" s="3"/>
      <c r="BY53" s="3"/>
      <c r="BZ53" s="3"/>
    </row>
    <row r="54" spans="1:78" ht="12">
      <c r="A54" s="6" t="s">
        <v>43</v>
      </c>
      <c r="C54" s="9">
        <v>264940</v>
      </c>
      <c r="D54" s="9">
        <v>275270</v>
      </c>
      <c r="E54" s="9">
        <v>284520</v>
      </c>
      <c r="F54" s="9">
        <v>286310</v>
      </c>
      <c r="G54" s="9">
        <v>282730</v>
      </c>
      <c r="H54" s="9">
        <v>304770</v>
      </c>
      <c r="I54" s="7">
        <f>6642.3*50</f>
        <v>332115</v>
      </c>
      <c r="J54" s="7">
        <f>6411.1*50</f>
        <v>320555</v>
      </c>
      <c r="K54" s="7">
        <f>6500.4*50</f>
        <v>325020</v>
      </c>
      <c r="L54" s="7">
        <f>7068.5*50</f>
        <v>353425</v>
      </c>
      <c r="M54" s="9"/>
      <c r="N54" s="9"/>
      <c r="O54" s="9"/>
      <c r="P54" s="9"/>
      <c r="Q54" s="9"/>
      <c r="R54" s="9"/>
      <c r="S54" s="9"/>
      <c r="W54" s="2"/>
      <c r="AE54" s="3"/>
      <c r="AF54" s="3"/>
      <c r="AG54" s="3"/>
      <c r="AH54" s="3"/>
      <c r="AJ54" s="2"/>
      <c r="AQ54" s="8"/>
      <c r="AS54" s="2"/>
      <c r="BF54" s="2"/>
      <c r="BN54" s="3"/>
      <c r="BO54" s="3"/>
      <c r="BP54" s="3"/>
      <c r="BQ54" s="8"/>
      <c r="BS54" s="2"/>
      <c r="BX54" s="8"/>
      <c r="BY54" s="8"/>
      <c r="BZ54" s="8"/>
    </row>
    <row r="55" spans="3:19" ht="12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3:19" ht="12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78" ht="12">
      <c r="A57" s="1" t="s">
        <v>44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7"/>
      <c r="N57" s="7"/>
      <c r="O57" s="7"/>
      <c r="P57" s="7"/>
      <c r="Q57" s="7"/>
      <c r="R57" s="7"/>
      <c r="S57" s="7"/>
      <c r="T57" s="2"/>
      <c r="U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J57" s="2"/>
      <c r="AK57" s="2"/>
      <c r="AL57" s="2"/>
      <c r="AM57" s="2"/>
      <c r="AN57" s="2"/>
      <c r="AO57" s="2"/>
      <c r="AP57" s="2"/>
      <c r="AQ57" s="2"/>
      <c r="BU57" s="2"/>
      <c r="BV57" s="2"/>
      <c r="BW57" s="2"/>
      <c r="BX57" s="2"/>
      <c r="BY57" s="2"/>
      <c r="BZ57" s="2"/>
    </row>
    <row r="58" spans="1:19" ht="12">
      <c r="A58" s="1" t="s">
        <v>45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3:19" ht="12"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2">
      <c r="A60" s="1" t="s">
        <v>46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66" ht="12">
      <c r="A61" s="1" t="s">
        <v>47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AS61" s="1" t="s">
        <v>1</v>
      </c>
      <c r="BF61" s="1" t="s">
        <v>48</v>
      </c>
      <c r="BN61" s="1" t="s">
        <v>48</v>
      </c>
    </row>
    <row r="62" spans="3:45" ht="1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AS62" s="1" t="s">
        <v>1</v>
      </c>
    </row>
    <row r="63" spans="3:19" ht="12"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3:19" ht="12"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3:19" ht="12"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3:19" ht="12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3:19" ht="12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3:19" ht="12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2006-11-01T19:44:58Z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