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5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<sst xmlns="http://schemas.openxmlformats.org/spreadsheetml/2006/main" count="55" uniqueCount="47">
  <si>
    <t>Table 58--Tuber production, by region and province, China, 1979-90—u1</t>
  </si>
  <si>
    <t>Region/province</t>
  </si>
  <si>
    <t xml:space="preserve">          1,000 tons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</si>
  <si>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</si>
  <si>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</si>
  <si>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</si>
  <si>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</si>
  <si>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</si>
  <si>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</si>
  <si>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</si>
  <si>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</si>
  <si>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</si>
  <si>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</si>
  <si>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</si>
  <si>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</si>
  <si>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</si>
  <si>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</si>
  <si>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</si>
  <si>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</si>
  <si>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</si>
  <si>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</si>
  <si>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</si>
  <si>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</si>
  <si>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</si>
  <si>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</si>
  <si>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</si>
  <si>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</si>
  <si>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</si>
  <si>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</si>
  <si>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</si>
  <si>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</si>
  <si>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</si>
  <si>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</si>
  <si>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</si>
  <si>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</si>
  <si>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</si>
  <si>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</si>
  <si>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</si>
  <si>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</si>
  <si>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</si>
  <si>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</si>
  <si>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</si>
  <si>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</si>
  <si>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Tubers includes both sweet potatoes and Irish (white) potatoes.  In more recent years tubers has excluded taro and cassava.</t>
  </si>
  <si>
    <t xml:space="preserve">    —u2˜ Hainan available beginning in 1988 -- prior years included in Guandong.</t>
  </si>
  <si>
    <t xml:space="preserve">    Sources:  (3, p. 26), (4, p. 37), (5, p. 40), (6, p. 88), (7, p. 147), (8, p. 182), (9, p. 215), (10, p. 233), (11, p. 261), (34, p. 367)</t>
  </si>
  <si>
    <t>and (35, p. 351).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</si>
</sst>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3" ht="12">
      <c r="B3" s="2"/>
    </row>
    <row r="4" spans="1:14" ht="12">
      <c r="A4" s="3" t="s">
        <v>1</v>
      </c>
      <c r="B4" s="2"/>
      <c r="C4" s="4">
        <v>1979</v>
      </c>
      <c r="D4" s="4">
        <v>1980</v>
      </c>
      <c r="E4" s="4">
        <v>1981</v>
      </c>
      <c r="F4" s="2">
        <v>1982</v>
      </c>
      <c r="G4" s="5">
        <v>1983</v>
      </c>
      <c r="H4" s="5">
        <v>1984</v>
      </c>
      <c r="I4" s="5">
        <v>1985</v>
      </c>
      <c r="J4" s="5">
        <v>1986</v>
      </c>
      <c r="K4" s="5">
        <v>1987</v>
      </c>
      <c r="L4" s="5">
        <v>1988</v>
      </c>
      <c r="M4" s="5">
        <v>1989</v>
      </c>
      <c r="N4" s="5">
        <v>1990</v>
      </c>
    </row>
    <row r="5" ht="12">
      <c r="B5" s="2"/>
    </row>
    <row r="6" spans="1:14" ht="12">
      <c r="A6" s="2"/>
      <c r="B6" s="2"/>
      <c r="C6" s="2"/>
      <c r="D6" s="2"/>
      <c r="E6" s="2"/>
      <c r="F6" s="4"/>
      <c r="G6" s="4"/>
      <c r="H6" s="4"/>
      <c r="I6" s="2"/>
      <c r="J6" s="2"/>
      <c r="K6" s="2"/>
      <c r="L6" s="2"/>
      <c r="M6" s="2"/>
      <c r="N6" s="2"/>
    </row>
    <row r="7" ht="12">
      <c r="H7" s="6" t="s">
        <v>2</v>
      </c>
    </row>
    <row r="9" spans="1:19" ht="12">
      <c r="A9" s="3" t="s">
        <v>3</v>
      </c>
      <c r="C9" s="7">
        <f aca="true" t="shared" si="0" ref="C9:N9">SUM(C10:C12)</f>
        <v>980</v>
      </c>
      <c r="D9" s="7">
        <f t="shared" si="0"/>
        <v>815</v>
      </c>
      <c r="E9" s="7">
        <f t="shared" si="0"/>
        <v>785</v>
      </c>
      <c r="F9" s="7">
        <f t="shared" si="0"/>
        <v>745</v>
      </c>
      <c r="G9" s="7">
        <f t="shared" si="0"/>
        <v>1065</v>
      </c>
      <c r="H9" s="7">
        <f t="shared" si="0"/>
        <v>1165</v>
      </c>
      <c r="I9" s="7">
        <f t="shared" si="0"/>
        <v>840</v>
      </c>
      <c r="J9" s="7">
        <f t="shared" si="0"/>
        <v>899</v>
      </c>
      <c r="K9" s="7">
        <f t="shared" si="0"/>
        <v>1108</v>
      </c>
      <c r="L9" s="7">
        <f t="shared" si="0"/>
        <v>1245</v>
      </c>
      <c r="M9" s="7">
        <f t="shared" si="0"/>
        <v>1122</v>
      </c>
      <c r="N9" s="7">
        <f t="shared" si="0"/>
        <v>1229</v>
      </c>
      <c r="O9" s="8"/>
      <c r="P9" s="8"/>
      <c r="Q9" s="8"/>
      <c r="R9" s="8"/>
      <c r="S9" s="8"/>
    </row>
    <row r="10" spans="2:19" ht="12">
      <c r="B10" s="3" t="s">
        <v>4</v>
      </c>
      <c r="C10" s="7">
        <f>12.5*50</f>
        <v>625</v>
      </c>
      <c r="D10" s="7">
        <f>10.2*50</f>
        <v>509.99999999999994</v>
      </c>
      <c r="E10" s="7">
        <f>9*50</f>
        <v>450</v>
      </c>
      <c r="F10" s="7">
        <f>8.7*50</f>
        <v>434.99999999999994</v>
      </c>
      <c r="G10" s="8">
        <v>615</v>
      </c>
      <c r="H10" s="8">
        <v>625</v>
      </c>
      <c r="I10" s="8">
        <v>438</v>
      </c>
      <c r="J10" s="8">
        <v>475</v>
      </c>
      <c r="K10" s="8">
        <v>672</v>
      </c>
      <c r="L10" s="8">
        <v>710</v>
      </c>
      <c r="M10" s="8">
        <v>719</v>
      </c>
      <c r="N10" s="8">
        <v>741</v>
      </c>
      <c r="O10" s="8"/>
      <c r="P10" s="8"/>
      <c r="Q10" s="8"/>
      <c r="R10" s="8"/>
      <c r="S10" s="8"/>
    </row>
    <row r="11" spans="2:19" ht="12">
      <c r="B11" s="3" t="s">
        <v>5</v>
      </c>
      <c r="C11" s="7">
        <f>2.7*50</f>
        <v>135</v>
      </c>
      <c r="D11" s="7">
        <f>2.1*50</f>
        <v>105</v>
      </c>
      <c r="E11" s="7">
        <f>1.8*50</f>
        <v>90</v>
      </c>
      <c r="F11" s="7">
        <f>1.9*50</f>
        <v>95</v>
      </c>
      <c r="G11" s="8">
        <v>145</v>
      </c>
      <c r="H11" s="8">
        <v>180</v>
      </c>
      <c r="I11" s="8">
        <v>157</v>
      </c>
      <c r="J11" s="8">
        <v>153</v>
      </c>
      <c r="K11" s="8">
        <v>135</v>
      </c>
      <c r="L11" s="8">
        <v>191</v>
      </c>
      <c r="M11" s="8">
        <v>119</v>
      </c>
      <c r="N11" s="8">
        <v>191</v>
      </c>
      <c r="O11" s="8"/>
      <c r="P11" s="8"/>
      <c r="Q11" s="8"/>
      <c r="R11" s="8"/>
      <c r="S11" s="8"/>
    </row>
    <row r="12" spans="2:19" ht="12">
      <c r="B12" s="3" t="s">
        <v>6</v>
      </c>
      <c r="C12" s="7">
        <f>4.4*50</f>
        <v>220.00000000000003</v>
      </c>
      <c r="D12" s="7">
        <f>4*50</f>
        <v>200</v>
      </c>
      <c r="E12" s="7">
        <f>4.9*50</f>
        <v>245.00000000000003</v>
      </c>
      <c r="F12" s="7">
        <f>4.3*50</f>
        <v>215</v>
      </c>
      <c r="G12" s="8">
        <v>305</v>
      </c>
      <c r="H12" s="8">
        <v>360</v>
      </c>
      <c r="I12" s="8">
        <v>245</v>
      </c>
      <c r="J12" s="8">
        <v>271</v>
      </c>
      <c r="K12" s="8">
        <v>301</v>
      </c>
      <c r="L12" s="8">
        <v>344</v>
      </c>
      <c r="M12" s="8">
        <v>284</v>
      </c>
      <c r="N12" s="8">
        <v>297</v>
      </c>
      <c r="O12" s="8"/>
      <c r="P12" s="8"/>
      <c r="Q12" s="8"/>
      <c r="R12" s="8"/>
      <c r="S12" s="8"/>
    </row>
    <row r="13" spans="3:19" ht="12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">
      <c r="A14" s="3" t="s">
        <v>7</v>
      </c>
      <c r="C14" s="7">
        <f aca="true" t="shared" si="1" ref="C14:N14">SUM(C15:C20)</f>
        <v>10600</v>
      </c>
      <c r="D14" s="7">
        <f t="shared" si="1"/>
        <v>10905</v>
      </c>
      <c r="E14" s="7">
        <f t="shared" si="1"/>
        <v>8735</v>
      </c>
      <c r="F14" s="7">
        <f t="shared" si="1"/>
        <v>9120</v>
      </c>
      <c r="G14" s="7">
        <f t="shared" si="1"/>
        <v>10115</v>
      </c>
      <c r="H14" s="7">
        <f t="shared" si="1"/>
        <v>10035</v>
      </c>
      <c r="I14" s="7">
        <f t="shared" si="1"/>
        <v>8616</v>
      </c>
      <c r="J14" s="7">
        <f t="shared" si="1"/>
        <v>7571</v>
      </c>
      <c r="K14" s="7">
        <f t="shared" si="1"/>
        <v>9072</v>
      </c>
      <c r="L14" s="7">
        <f t="shared" si="1"/>
        <v>8449</v>
      </c>
      <c r="M14" s="7">
        <f t="shared" si="1"/>
        <v>7707</v>
      </c>
      <c r="N14" s="7">
        <f t="shared" si="1"/>
        <v>8354</v>
      </c>
      <c r="O14" s="8"/>
      <c r="P14" s="8"/>
      <c r="Q14" s="8"/>
      <c r="R14" s="8"/>
      <c r="S14" s="8"/>
    </row>
    <row r="15" spans="2:19" ht="12">
      <c r="B15" s="3" t="s">
        <v>8</v>
      </c>
      <c r="C15" s="7">
        <f>110.9*50</f>
        <v>5545</v>
      </c>
      <c r="D15" s="7">
        <f>111.1*50</f>
        <v>5555</v>
      </c>
      <c r="E15" s="7">
        <f>85.7*50</f>
        <v>4285</v>
      </c>
      <c r="F15" s="7">
        <f>98.9*50</f>
        <v>4945</v>
      </c>
      <c r="G15" s="8">
        <v>4670</v>
      </c>
      <c r="H15" s="8">
        <v>5280</v>
      </c>
      <c r="I15" s="8">
        <v>4373</v>
      </c>
      <c r="J15" s="8">
        <v>4003</v>
      </c>
      <c r="K15" s="8">
        <v>4784</v>
      </c>
      <c r="L15" s="8">
        <v>4040</v>
      </c>
      <c r="M15" s="8">
        <v>3324</v>
      </c>
      <c r="N15" s="8">
        <v>3640</v>
      </c>
      <c r="O15" s="8"/>
      <c r="P15" s="8"/>
      <c r="Q15" s="8"/>
      <c r="R15" s="8"/>
      <c r="S15" s="8"/>
    </row>
    <row r="16" spans="2:19" ht="12">
      <c r="B16" s="3" t="s">
        <v>9</v>
      </c>
      <c r="C16" s="7">
        <f>25.9*50</f>
        <v>1295</v>
      </c>
      <c r="D16" s="7">
        <f>25*50</f>
        <v>1250</v>
      </c>
      <c r="E16" s="7">
        <f>21.9*50</f>
        <v>1095</v>
      </c>
      <c r="F16" s="7">
        <f>26.5*50</f>
        <v>1325</v>
      </c>
      <c r="G16" s="8">
        <v>1335</v>
      </c>
      <c r="H16" s="8">
        <v>1360</v>
      </c>
      <c r="I16" s="8">
        <v>1445</v>
      </c>
      <c r="J16" s="8">
        <v>1251</v>
      </c>
      <c r="K16" s="8">
        <v>1362</v>
      </c>
      <c r="L16" s="8">
        <v>1402</v>
      </c>
      <c r="M16" s="8">
        <v>1256</v>
      </c>
      <c r="N16" s="8">
        <v>1386</v>
      </c>
      <c r="O16" s="8"/>
      <c r="P16" s="8"/>
      <c r="Q16" s="8"/>
      <c r="R16" s="8"/>
      <c r="S16" s="8"/>
    </row>
    <row r="17" spans="2:19" ht="12">
      <c r="B17" s="3" t="s">
        <v>10</v>
      </c>
      <c r="C17" s="7">
        <f>0.6*50</f>
        <v>30</v>
      </c>
      <c r="D17" s="7">
        <f>0.5*50</f>
        <v>25</v>
      </c>
      <c r="E17" s="7">
        <f>0.4*50</f>
        <v>20</v>
      </c>
      <c r="F17" s="7">
        <f>0.3*50</f>
        <v>15</v>
      </c>
      <c r="G17" s="8">
        <v>20</v>
      </c>
      <c r="H17" s="8">
        <v>25</v>
      </c>
      <c r="I17" s="8">
        <v>37</v>
      </c>
      <c r="J17" s="8">
        <v>29</v>
      </c>
      <c r="K17" s="8">
        <v>30</v>
      </c>
      <c r="L17" s="8">
        <v>29</v>
      </c>
      <c r="M17" s="8">
        <v>27</v>
      </c>
      <c r="N17" s="8">
        <v>27</v>
      </c>
      <c r="O17" s="8"/>
      <c r="P17" s="8"/>
      <c r="Q17" s="8"/>
      <c r="R17" s="8"/>
      <c r="S17" s="8"/>
    </row>
    <row r="18" spans="2:19" ht="12">
      <c r="B18" s="3" t="s">
        <v>11</v>
      </c>
      <c r="C18" s="7">
        <f>0.4*50</f>
        <v>20</v>
      </c>
      <c r="D18" s="7">
        <f>0.5*50</f>
        <v>25</v>
      </c>
      <c r="E18" s="7">
        <f>0.4*50</f>
        <v>20</v>
      </c>
      <c r="F18" s="7">
        <f>0.6*50</f>
        <v>30</v>
      </c>
      <c r="G18" s="8">
        <v>30</v>
      </c>
      <c r="H18" s="8">
        <v>40</v>
      </c>
      <c r="I18" s="8">
        <v>33</v>
      </c>
      <c r="J18" s="8">
        <v>26</v>
      </c>
      <c r="K18" s="8">
        <v>25</v>
      </c>
      <c r="L18" s="8">
        <v>16</v>
      </c>
      <c r="M18" s="8">
        <v>20</v>
      </c>
      <c r="N18" s="8">
        <v>20</v>
      </c>
      <c r="O18" s="8"/>
      <c r="P18" s="8"/>
      <c r="Q18" s="8"/>
      <c r="R18" s="8"/>
      <c r="S18" s="8"/>
    </row>
    <row r="19" spans="2:19" ht="12">
      <c r="B19" s="3" t="s">
        <v>12</v>
      </c>
      <c r="C19" s="7">
        <f>63.5*50</f>
        <v>3175</v>
      </c>
      <c r="D19" s="7">
        <f>70.5*50</f>
        <v>3525</v>
      </c>
      <c r="E19" s="7">
        <f>57*50</f>
        <v>2850</v>
      </c>
      <c r="F19" s="7">
        <f>43.7*50</f>
        <v>2185</v>
      </c>
      <c r="G19" s="8">
        <v>3450</v>
      </c>
      <c r="H19" s="8">
        <v>2590</v>
      </c>
      <c r="I19" s="8">
        <v>2086</v>
      </c>
      <c r="J19" s="8">
        <v>1782</v>
      </c>
      <c r="K19" s="8">
        <v>2329</v>
      </c>
      <c r="L19" s="8">
        <v>2175</v>
      </c>
      <c r="M19" s="8">
        <v>2351</v>
      </c>
      <c r="N19" s="8">
        <v>2537</v>
      </c>
      <c r="O19" s="8"/>
      <c r="P19" s="8"/>
      <c r="Q19" s="8"/>
      <c r="R19" s="8"/>
      <c r="S19" s="8"/>
    </row>
    <row r="20" spans="2:19" ht="12">
      <c r="B20" s="3" t="s">
        <v>13</v>
      </c>
      <c r="C20" s="7">
        <f>10.7*50</f>
        <v>535</v>
      </c>
      <c r="D20" s="7">
        <f>10.5*50</f>
        <v>525</v>
      </c>
      <c r="E20" s="7">
        <f>9.3*50</f>
        <v>465.00000000000006</v>
      </c>
      <c r="F20" s="7">
        <f>12.4*50</f>
        <v>620</v>
      </c>
      <c r="G20" s="8">
        <v>610</v>
      </c>
      <c r="H20" s="8">
        <v>740</v>
      </c>
      <c r="I20" s="8">
        <v>642</v>
      </c>
      <c r="J20" s="8">
        <v>480</v>
      </c>
      <c r="K20" s="8">
        <v>542</v>
      </c>
      <c r="L20" s="8">
        <v>787</v>
      </c>
      <c r="M20" s="8">
        <v>729</v>
      </c>
      <c r="N20" s="8">
        <v>744</v>
      </c>
      <c r="O20" s="8"/>
      <c r="P20" s="8"/>
      <c r="Q20" s="8"/>
      <c r="R20" s="8"/>
      <c r="S20" s="8"/>
    </row>
    <row r="21" spans="3:19" ht="1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">
      <c r="A22" s="3" t="s">
        <v>14</v>
      </c>
      <c r="C22" s="7">
        <f aca="true" t="shared" si="2" ref="C22:N22">SUM(C23:C28)</f>
        <v>1695</v>
      </c>
      <c r="D22" s="7">
        <f t="shared" si="2"/>
        <v>1590</v>
      </c>
      <c r="E22" s="7">
        <f t="shared" si="2"/>
        <v>1310</v>
      </c>
      <c r="F22" s="7">
        <f t="shared" si="2"/>
        <v>1310</v>
      </c>
      <c r="G22" s="7">
        <f t="shared" si="2"/>
        <v>1495</v>
      </c>
      <c r="H22" s="7">
        <f t="shared" si="2"/>
        <v>1665</v>
      </c>
      <c r="I22" s="7">
        <f t="shared" si="2"/>
        <v>1690</v>
      </c>
      <c r="J22" s="7">
        <f t="shared" si="2"/>
        <v>1592</v>
      </c>
      <c r="K22" s="7">
        <f t="shared" si="2"/>
        <v>1532</v>
      </c>
      <c r="L22" s="7">
        <f t="shared" si="2"/>
        <v>2107</v>
      </c>
      <c r="M22" s="7">
        <f t="shared" si="2"/>
        <v>1853</v>
      </c>
      <c r="N22" s="7">
        <f t="shared" si="2"/>
        <v>2110</v>
      </c>
      <c r="O22" s="8"/>
      <c r="P22" s="8"/>
      <c r="Q22" s="8"/>
      <c r="R22" s="8"/>
      <c r="S22" s="8"/>
    </row>
    <row r="23" spans="2:19" ht="12">
      <c r="B23" s="3" t="s">
        <v>15</v>
      </c>
      <c r="C23" s="7">
        <f>14.1*50</f>
        <v>705</v>
      </c>
      <c r="D23" s="7">
        <f>13.7*50</f>
        <v>685</v>
      </c>
      <c r="E23" s="7">
        <f>9.8*50</f>
        <v>490.00000000000006</v>
      </c>
      <c r="F23" s="7">
        <f>10.8*50</f>
        <v>540</v>
      </c>
      <c r="G23" s="8">
        <v>575</v>
      </c>
      <c r="H23" s="8">
        <v>680</v>
      </c>
      <c r="I23" s="8">
        <v>615</v>
      </c>
      <c r="J23" s="8">
        <v>603</v>
      </c>
      <c r="K23" s="8">
        <v>622</v>
      </c>
      <c r="L23" s="8">
        <v>734</v>
      </c>
      <c r="M23" s="8">
        <v>647</v>
      </c>
      <c r="N23" s="8">
        <v>648</v>
      </c>
      <c r="O23" s="8"/>
      <c r="P23" s="8"/>
      <c r="Q23" s="8"/>
      <c r="R23" s="8"/>
      <c r="S23" s="8"/>
    </row>
    <row r="24" spans="2:19" ht="12">
      <c r="B24" s="3" t="s">
        <v>16</v>
      </c>
      <c r="C24" s="7">
        <f>8.4*50</f>
        <v>420</v>
      </c>
      <c r="D24" s="7">
        <f>8.8*50</f>
        <v>440.00000000000006</v>
      </c>
      <c r="E24" s="7">
        <f>6.4*50</f>
        <v>320</v>
      </c>
      <c r="F24" s="7">
        <f>5.4*50</f>
        <v>270</v>
      </c>
      <c r="G24" s="8">
        <v>390</v>
      </c>
      <c r="H24" s="8">
        <v>360</v>
      </c>
      <c r="I24" s="8">
        <v>447</v>
      </c>
      <c r="J24" s="8">
        <v>458</v>
      </c>
      <c r="K24" s="8">
        <v>413</v>
      </c>
      <c r="L24" s="8">
        <v>548</v>
      </c>
      <c r="M24" s="8">
        <v>562</v>
      </c>
      <c r="N24" s="8">
        <v>621</v>
      </c>
      <c r="O24" s="8"/>
      <c r="P24" s="8"/>
      <c r="Q24" s="8"/>
      <c r="R24" s="8"/>
      <c r="S24" s="8"/>
    </row>
    <row r="25" spans="2:19" ht="12">
      <c r="B25" s="3" t="s">
        <v>17</v>
      </c>
      <c r="C25" s="7">
        <f>7.9*50</f>
        <v>395</v>
      </c>
      <c r="D25" s="7">
        <f>6*50</f>
        <v>300</v>
      </c>
      <c r="E25" s="7">
        <f>7.5*50</f>
        <v>375</v>
      </c>
      <c r="F25" s="7">
        <f>8.3*50</f>
        <v>415.00000000000006</v>
      </c>
      <c r="G25" s="8">
        <v>420</v>
      </c>
      <c r="H25" s="8">
        <v>500</v>
      </c>
      <c r="I25" s="8">
        <v>482</v>
      </c>
      <c r="J25" s="8">
        <v>364</v>
      </c>
      <c r="K25" s="8">
        <v>337</v>
      </c>
      <c r="L25" s="8">
        <v>617</v>
      </c>
      <c r="M25" s="8">
        <v>424</v>
      </c>
      <c r="N25" s="8">
        <v>613</v>
      </c>
      <c r="O25" s="8"/>
      <c r="P25" s="8"/>
      <c r="Q25" s="8"/>
      <c r="R25" s="8"/>
      <c r="S25" s="8"/>
    </row>
    <row r="26" spans="2:19" ht="12">
      <c r="B26" s="3" t="s">
        <v>18</v>
      </c>
      <c r="C26" s="7">
        <f>1.3*50</f>
        <v>65</v>
      </c>
      <c r="D26" s="7">
        <f>1.3*50</f>
        <v>65</v>
      </c>
      <c r="E26" s="7">
        <f>0.9*50</f>
        <v>45</v>
      </c>
      <c r="F26" s="7">
        <f>0.4*50</f>
        <v>20</v>
      </c>
      <c r="G26" s="8">
        <v>35</v>
      </c>
      <c r="H26" s="8">
        <v>40</v>
      </c>
      <c r="I26" s="8">
        <v>40</v>
      </c>
      <c r="J26" s="8">
        <v>45</v>
      </c>
      <c r="K26" s="8">
        <v>35</v>
      </c>
      <c r="L26" s="8">
        <v>65</v>
      </c>
      <c r="M26" s="8">
        <v>76</v>
      </c>
      <c r="N26" s="8">
        <v>84</v>
      </c>
      <c r="O26" s="8"/>
      <c r="P26" s="8"/>
      <c r="Q26" s="8"/>
      <c r="R26" s="8"/>
      <c r="S26" s="8"/>
    </row>
    <row r="27" spans="2:19" ht="12">
      <c r="B27" s="3" t="s">
        <v>19</v>
      </c>
      <c r="C27" s="7">
        <f>0.8*50</f>
        <v>40</v>
      </c>
      <c r="D27" s="7">
        <f>0.5*50</f>
        <v>25</v>
      </c>
      <c r="E27" s="7">
        <f>0.5*50</f>
        <v>25</v>
      </c>
      <c r="F27" s="7">
        <f>0.4*50</f>
        <v>20</v>
      </c>
      <c r="G27" s="8">
        <v>20</v>
      </c>
      <c r="H27" s="8">
        <v>20</v>
      </c>
      <c r="I27" s="8">
        <v>22</v>
      </c>
      <c r="J27" s="8">
        <v>30</v>
      </c>
      <c r="K27" s="8">
        <v>37</v>
      </c>
      <c r="L27" s="8">
        <v>44</v>
      </c>
      <c r="M27" s="8">
        <v>34</v>
      </c>
      <c r="N27" s="8">
        <v>35</v>
      </c>
      <c r="O27" s="8"/>
      <c r="P27" s="8"/>
      <c r="Q27" s="8"/>
      <c r="R27" s="8"/>
      <c r="S27" s="8"/>
    </row>
    <row r="28" spans="2:19" ht="12">
      <c r="B28" s="3" t="s">
        <v>20</v>
      </c>
      <c r="C28" s="7">
        <f>1.4*50</f>
        <v>70</v>
      </c>
      <c r="D28" s="7">
        <f>1.5*50</f>
        <v>75</v>
      </c>
      <c r="E28" s="7">
        <f>1.1*50</f>
        <v>55.00000000000001</v>
      </c>
      <c r="F28" s="7">
        <f>0.9*50</f>
        <v>45</v>
      </c>
      <c r="G28" s="8">
        <v>55</v>
      </c>
      <c r="H28" s="8">
        <v>65</v>
      </c>
      <c r="I28" s="8">
        <v>84</v>
      </c>
      <c r="J28" s="8">
        <v>92</v>
      </c>
      <c r="K28" s="8">
        <v>88</v>
      </c>
      <c r="L28" s="8">
        <v>99</v>
      </c>
      <c r="M28" s="8">
        <v>110</v>
      </c>
      <c r="N28" s="8">
        <v>109</v>
      </c>
      <c r="O28" s="8"/>
      <c r="P28" s="8"/>
      <c r="Q28" s="8"/>
      <c r="R28" s="8"/>
      <c r="S28" s="8"/>
    </row>
    <row r="29" spans="3:19" ht="1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">
      <c r="A30" s="3" t="s">
        <v>21</v>
      </c>
      <c r="C30" s="7">
        <f aca="true" t="shared" si="3" ref="C30:N30">SUM(C31:C34)</f>
        <v>3625</v>
      </c>
      <c r="D30" s="7">
        <f t="shared" si="3"/>
        <v>4100</v>
      </c>
      <c r="E30" s="7">
        <f t="shared" si="3"/>
        <v>4515</v>
      </c>
      <c r="F30" s="7">
        <f t="shared" si="3"/>
        <v>4275</v>
      </c>
      <c r="G30" s="7">
        <f t="shared" si="3"/>
        <v>5300</v>
      </c>
      <c r="H30" s="7">
        <f t="shared" si="3"/>
        <v>4625</v>
      </c>
      <c r="I30" s="7">
        <f t="shared" si="3"/>
        <v>4121</v>
      </c>
      <c r="J30" s="7">
        <f t="shared" si="3"/>
        <v>4704</v>
      </c>
      <c r="K30" s="7">
        <f t="shared" si="3"/>
        <v>4650</v>
      </c>
      <c r="L30" s="7">
        <f t="shared" si="3"/>
        <v>4621</v>
      </c>
      <c r="M30" s="7">
        <f t="shared" si="3"/>
        <v>4176</v>
      </c>
      <c r="N30" s="7">
        <f t="shared" si="3"/>
        <v>4269</v>
      </c>
      <c r="O30" s="8"/>
      <c r="P30" s="8"/>
      <c r="Q30" s="8"/>
      <c r="R30" s="8"/>
      <c r="S30" s="8"/>
    </row>
    <row r="31" spans="2:19" ht="12">
      <c r="B31" s="3" t="s">
        <v>22</v>
      </c>
      <c r="C31" s="7">
        <f>12.9*50</f>
        <v>645</v>
      </c>
      <c r="D31" s="7">
        <f>15.6*50</f>
        <v>780</v>
      </c>
      <c r="E31" s="7">
        <f>14.5*50</f>
        <v>725</v>
      </c>
      <c r="F31" s="7">
        <f>15.7*50</f>
        <v>785</v>
      </c>
      <c r="G31" s="8">
        <v>790</v>
      </c>
      <c r="H31" s="8">
        <v>760</v>
      </c>
      <c r="I31" s="8">
        <v>686</v>
      </c>
      <c r="J31" s="8">
        <v>602</v>
      </c>
      <c r="K31" s="8">
        <v>659</v>
      </c>
      <c r="L31" s="8">
        <v>613</v>
      </c>
      <c r="M31" s="8">
        <v>645</v>
      </c>
      <c r="N31" s="8">
        <v>634</v>
      </c>
      <c r="O31" s="8"/>
      <c r="P31" s="8"/>
      <c r="Q31" s="8"/>
      <c r="R31" s="8"/>
      <c r="S31" s="8"/>
    </row>
    <row r="32" spans="2:19" ht="12">
      <c r="B32" s="3" t="s">
        <v>23</v>
      </c>
      <c r="C32" s="7">
        <f>24*50</f>
        <v>1200</v>
      </c>
      <c r="D32" s="7">
        <f>23.8*50</f>
        <v>1190</v>
      </c>
      <c r="E32" s="7">
        <f>31.7*50</f>
        <v>1585</v>
      </c>
      <c r="F32" s="7">
        <f>30.4*50</f>
        <v>1520</v>
      </c>
      <c r="G32" s="8">
        <v>1520</v>
      </c>
      <c r="H32" s="8">
        <v>1395</v>
      </c>
      <c r="I32" s="8">
        <v>1336</v>
      </c>
      <c r="J32" s="8">
        <v>1330</v>
      </c>
      <c r="K32" s="8">
        <v>1319</v>
      </c>
      <c r="L32" s="8">
        <v>1249</v>
      </c>
      <c r="M32" s="8">
        <v>1199</v>
      </c>
      <c r="N32" s="8">
        <v>1040</v>
      </c>
      <c r="O32" s="8"/>
      <c r="P32" s="8"/>
      <c r="Q32" s="8"/>
      <c r="R32" s="8"/>
      <c r="S32" s="8"/>
    </row>
    <row r="33" spans="2:19" ht="12">
      <c r="B33" s="3" t="s">
        <v>24</v>
      </c>
      <c r="C33" s="7">
        <f>0.1*50</f>
        <v>5</v>
      </c>
      <c r="D33" s="7">
        <f>0.1*50</f>
        <v>5</v>
      </c>
      <c r="E33" s="7">
        <v>0</v>
      </c>
      <c r="F33" s="7">
        <f>0.1*50</f>
        <v>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/>
      <c r="P33" s="8"/>
      <c r="Q33" s="8"/>
      <c r="R33" s="8"/>
      <c r="S33" s="8"/>
    </row>
    <row r="34" spans="2:19" ht="12">
      <c r="B34" s="3" t="s">
        <v>25</v>
      </c>
      <c r="C34" s="7">
        <f>35.5*50</f>
        <v>1775</v>
      </c>
      <c r="D34" s="7">
        <f>42.5*50</f>
        <v>2125</v>
      </c>
      <c r="E34" s="7">
        <f>44.1*50</f>
        <v>2205</v>
      </c>
      <c r="F34" s="7">
        <f>39.3*50</f>
        <v>1964.9999999999998</v>
      </c>
      <c r="G34" s="8">
        <v>2990</v>
      </c>
      <c r="H34" s="8">
        <v>2470</v>
      </c>
      <c r="I34" s="8">
        <v>2099</v>
      </c>
      <c r="J34" s="8">
        <v>2772</v>
      </c>
      <c r="K34" s="8">
        <v>2672</v>
      </c>
      <c r="L34" s="8">
        <v>2759</v>
      </c>
      <c r="M34" s="8">
        <v>2332</v>
      </c>
      <c r="N34" s="8">
        <v>2595</v>
      </c>
      <c r="O34" s="8"/>
      <c r="P34" s="8"/>
      <c r="Q34" s="8"/>
      <c r="R34" s="8"/>
      <c r="S34" s="8"/>
    </row>
    <row r="35" spans="3:19" ht="1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">
      <c r="A36" s="3" t="s">
        <v>26</v>
      </c>
      <c r="C36" s="7">
        <f aca="true" t="shared" si="4" ref="C36:N36">SUM(C37:C39)</f>
        <v>2400</v>
      </c>
      <c r="D36" s="7">
        <f t="shared" si="4"/>
        <v>2225</v>
      </c>
      <c r="E36" s="7">
        <f t="shared" si="4"/>
        <v>2095</v>
      </c>
      <c r="F36" s="7">
        <f t="shared" si="4"/>
        <v>2370</v>
      </c>
      <c r="G36" s="7">
        <f t="shared" si="4"/>
        <v>2315</v>
      </c>
      <c r="H36" s="7">
        <f t="shared" si="4"/>
        <v>2275</v>
      </c>
      <c r="I36" s="7">
        <f t="shared" si="4"/>
        <v>2143</v>
      </c>
      <c r="J36" s="7">
        <f t="shared" si="4"/>
        <v>2003</v>
      </c>
      <c r="K36" s="7">
        <f t="shared" si="4"/>
        <v>2196</v>
      </c>
      <c r="L36" s="7">
        <f t="shared" si="4"/>
        <v>2070</v>
      </c>
      <c r="M36" s="7">
        <f t="shared" si="4"/>
        <v>2509</v>
      </c>
      <c r="N36" s="7">
        <f t="shared" si="4"/>
        <v>2220</v>
      </c>
      <c r="O36" s="8"/>
      <c r="P36" s="8"/>
      <c r="Q36" s="8"/>
      <c r="R36" s="8"/>
      <c r="S36" s="8"/>
    </row>
    <row r="37" spans="2:19" ht="12">
      <c r="B37" s="3" t="s">
        <v>27</v>
      </c>
      <c r="C37" s="7">
        <f>19.1*50</f>
        <v>955.0000000000001</v>
      </c>
      <c r="D37" s="7">
        <f>17.5*50</f>
        <v>875</v>
      </c>
      <c r="E37" s="7">
        <f>18.4*50</f>
        <v>919.9999999999999</v>
      </c>
      <c r="F37" s="7">
        <f>21.4*50</f>
        <v>1070</v>
      </c>
      <c r="G37" s="8">
        <v>1035</v>
      </c>
      <c r="H37" s="8">
        <v>1080</v>
      </c>
      <c r="I37" s="8">
        <v>1010</v>
      </c>
      <c r="J37" s="8">
        <v>1027</v>
      </c>
      <c r="K37" s="8">
        <v>1041</v>
      </c>
      <c r="L37" s="8">
        <v>975</v>
      </c>
      <c r="M37" s="8">
        <v>1114</v>
      </c>
      <c r="N37" s="8">
        <v>996</v>
      </c>
      <c r="O37" s="8"/>
      <c r="P37" s="8"/>
      <c r="Q37" s="8"/>
      <c r="R37" s="8"/>
      <c r="S37" s="8"/>
    </row>
    <row r="38" spans="2:19" ht="12">
      <c r="B38" s="3" t="s">
        <v>28</v>
      </c>
      <c r="C38" s="7">
        <f>23*50</f>
        <v>1150</v>
      </c>
      <c r="D38" s="7">
        <f>21.5*50</f>
        <v>1075</v>
      </c>
      <c r="E38" s="7">
        <f>18.1*50</f>
        <v>905.0000000000001</v>
      </c>
      <c r="F38" s="7">
        <f>20.1*50</f>
        <v>1005.0000000000001</v>
      </c>
      <c r="G38" s="8">
        <v>1010</v>
      </c>
      <c r="H38" s="8">
        <v>915</v>
      </c>
      <c r="I38" s="8">
        <v>857</v>
      </c>
      <c r="J38" s="8">
        <v>770</v>
      </c>
      <c r="K38" s="8">
        <v>886</v>
      </c>
      <c r="L38" s="8">
        <v>838</v>
      </c>
      <c r="M38" s="8">
        <v>1055</v>
      </c>
      <c r="N38" s="8">
        <v>844</v>
      </c>
      <c r="O38" s="8"/>
      <c r="P38" s="8"/>
      <c r="Q38" s="8"/>
      <c r="R38" s="8"/>
      <c r="S38" s="8"/>
    </row>
    <row r="39" spans="2:19" ht="12">
      <c r="B39" s="3" t="s">
        <v>29</v>
      </c>
      <c r="C39" s="7">
        <f>5.9*50</f>
        <v>295</v>
      </c>
      <c r="D39" s="7">
        <f>5.5*50</f>
        <v>275</v>
      </c>
      <c r="E39" s="7">
        <f>5.4*50</f>
        <v>270</v>
      </c>
      <c r="F39" s="7">
        <f>5.9*50</f>
        <v>295</v>
      </c>
      <c r="G39" s="8">
        <v>270</v>
      </c>
      <c r="H39" s="8">
        <v>280</v>
      </c>
      <c r="I39" s="8">
        <v>276</v>
      </c>
      <c r="J39" s="8">
        <v>206</v>
      </c>
      <c r="K39" s="8">
        <v>269</v>
      </c>
      <c r="L39" s="8">
        <v>257</v>
      </c>
      <c r="M39" s="8">
        <v>340</v>
      </c>
      <c r="N39" s="8">
        <v>380</v>
      </c>
      <c r="O39" s="8"/>
      <c r="P39" s="8"/>
      <c r="Q39" s="8"/>
      <c r="R39" s="8"/>
      <c r="S39" s="8"/>
    </row>
    <row r="40" spans="3:19" ht="1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">
      <c r="A41" s="3" t="s">
        <v>30</v>
      </c>
      <c r="C41" s="7">
        <f aca="true" t="shared" si="5" ref="C41:K41">SUM(C42:C44)</f>
        <v>2380</v>
      </c>
      <c r="D41" s="7">
        <f t="shared" si="5"/>
        <v>2500</v>
      </c>
      <c r="E41" s="7">
        <f t="shared" si="5"/>
        <v>2480</v>
      </c>
      <c r="F41" s="7">
        <f t="shared" si="5"/>
        <v>2705</v>
      </c>
      <c r="G41" s="7">
        <f t="shared" si="5"/>
        <v>2435</v>
      </c>
      <c r="H41" s="7">
        <f t="shared" si="5"/>
        <v>2480</v>
      </c>
      <c r="I41" s="7">
        <f t="shared" si="5"/>
        <v>2462</v>
      </c>
      <c r="J41" s="7">
        <f t="shared" si="5"/>
        <v>2320</v>
      </c>
      <c r="K41" s="7">
        <f t="shared" si="5"/>
        <v>2722</v>
      </c>
      <c r="L41" s="7">
        <f>SUM(L42:L45)</f>
        <v>2599</v>
      </c>
      <c r="M41" s="7">
        <f>SUM(M42:M45)</f>
        <v>2834</v>
      </c>
      <c r="N41" s="7">
        <f>SUM(N42:N45)</f>
        <v>3051</v>
      </c>
      <c r="O41" s="8"/>
      <c r="P41" s="8"/>
      <c r="Q41" s="8"/>
      <c r="R41" s="8"/>
      <c r="S41" s="8"/>
    </row>
    <row r="42" spans="2:19" ht="12">
      <c r="B42" s="3" t="s">
        <v>31</v>
      </c>
      <c r="C42" s="7">
        <f>27.8*50</f>
        <v>1390</v>
      </c>
      <c r="D42" s="7">
        <f>27.3*50</f>
        <v>1365</v>
      </c>
      <c r="E42" s="7">
        <f>27.2*50</f>
        <v>1360</v>
      </c>
      <c r="F42" s="7">
        <f>30.4*50</f>
        <v>1520</v>
      </c>
      <c r="G42" s="8">
        <v>1400</v>
      </c>
      <c r="H42" s="8">
        <v>1425</v>
      </c>
      <c r="I42" s="8">
        <v>1448</v>
      </c>
      <c r="J42" s="8">
        <v>1425</v>
      </c>
      <c r="K42" s="8">
        <v>1632</v>
      </c>
      <c r="L42" s="8">
        <v>1434</v>
      </c>
      <c r="M42" s="8">
        <v>1491</v>
      </c>
      <c r="N42" s="8">
        <v>1631</v>
      </c>
      <c r="O42" s="8"/>
      <c r="P42" s="8"/>
      <c r="Q42" s="8"/>
      <c r="R42" s="8"/>
      <c r="S42" s="8"/>
    </row>
    <row r="43" spans="2:19" ht="12">
      <c r="B43" s="3" t="s">
        <v>32</v>
      </c>
      <c r="C43" s="7">
        <f>3.5*50</f>
        <v>175</v>
      </c>
      <c r="D43" s="7">
        <f>3.4*50</f>
        <v>170</v>
      </c>
      <c r="E43" s="7">
        <f>3.6*50</f>
        <v>180</v>
      </c>
      <c r="F43" s="7">
        <f>5.4*50</f>
        <v>270</v>
      </c>
      <c r="G43" s="8">
        <v>235</v>
      </c>
      <c r="H43" s="8">
        <v>220</v>
      </c>
      <c r="I43" s="8">
        <v>209</v>
      </c>
      <c r="J43" s="8">
        <v>234</v>
      </c>
      <c r="K43" s="8">
        <v>266</v>
      </c>
      <c r="L43" s="8">
        <v>215</v>
      </c>
      <c r="M43" s="8">
        <v>228</v>
      </c>
      <c r="N43" s="8">
        <v>235</v>
      </c>
      <c r="O43" s="8"/>
      <c r="P43" s="8"/>
      <c r="Q43" s="8"/>
      <c r="R43" s="8"/>
      <c r="S43" s="8"/>
    </row>
    <row r="44" spans="2:19" ht="12">
      <c r="B44" s="3" t="s">
        <v>33</v>
      </c>
      <c r="C44" s="7">
        <f>16.3*50</f>
        <v>815</v>
      </c>
      <c r="D44" s="7">
        <f>19.3*50</f>
        <v>965</v>
      </c>
      <c r="E44" s="7">
        <f>18.8*50</f>
        <v>940</v>
      </c>
      <c r="F44" s="7">
        <f>18.3*50</f>
        <v>915</v>
      </c>
      <c r="G44" s="8">
        <v>800</v>
      </c>
      <c r="H44" s="8">
        <v>835</v>
      </c>
      <c r="I44" s="8">
        <v>805</v>
      </c>
      <c r="J44" s="8">
        <v>661</v>
      </c>
      <c r="K44" s="8">
        <v>824</v>
      </c>
      <c r="L44" s="8">
        <v>784</v>
      </c>
      <c r="M44" s="8">
        <v>934</v>
      </c>
      <c r="N44" s="8">
        <v>974</v>
      </c>
      <c r="O44" s="8"/>
      <c r="P44" s="8"/>
      <c r="Q44" s="8"/>
      <c r="R44" s="8"/>
      <c r="S44" s="8"/>
    </row>
    <row r="45" spans="2:19" ht="12">
      <c r="B45" s="3" t="s">
        <v>34</v>
      </c>
      <c r="C45" s="9" t="s">
        <v>35</v>
      </c>
      <c r="D45" s="9" t="s">
        <v>35</v>
      </c>
      <c r="E45" s="9" t="s">
        <v>35</v>
      </c>
      <c r="F45" s="9" t="s">
        <v>35</v>
      </c>
      <c r="G45" s="9" t="s">
        <v>35</v>
      </c>
      <c r="H45" s="9" t="s">
        <v>35</v>
      </c>
      <c r="I45" s="9" t="s">
        <v>35</v>
      </c>
      <c r="J45" s="9" t="s">
        <v>35</v>
      </c>
      <c r="K45" s="9" t="s">
        <v>35</v>
      </c>
      <c r="L45" s="8">
        <v>166</v>
      </c>
      <c r="M45" s="8">
        <v>181</v>
      </c>
      <c r="N45" s="8">
        <v>211</v>
      </c>
      <c r="O45" s="8"/>
      <c r="P45" s="8"/>
      <c r="Q45" s="8"/>
      <c r="R45" s="8"/>
      <c r="S45" s="8"/>
    </row>
    <row r="46" spans="3:19" ht="1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">
      <c r="A47" s="3" t="s">
        <v>36</v>
      </c>
      <c r="C47" s="7">
        <f aca="true" t="shared" si="6" ref="C47:N47">SUM(C48:C51)</f>
        <v>6780</v>
      </c>
      <c r="D47" s="7">
        <f t="shared" si="6"/>
        <v>5710</v>
      </c>
      <c r="E47" s="7">
        <f t="shared" si="6"/>
        <v>6050</v>
      </c>
      <c r="F47" s="7">
        <f t="shared" si="6"/>
        <v>6155</v>
      </c>
      <c r="G47" s="7">
        <f t="shared" si="6"/>
        <v>6520</v>
      </c>
      <c r="H47" s="7">
        <f t="shared" si="6"/>
        <v>6230</v>
      </c>
      <c r="I47" s="7">
        <f t="shared" si="6"/>
        <v>6164</v>
      </c>
      <c r="J47" s="7">
        <f t="shared" si="6"/>
        <v>6248</v>
      </c>
      <c r="K47" s="7">
        <f t="shared" si="6"/>
        <v>6943</v>
      </c>
      <c r="L47" s="7">
        <f t="shared" si="6"/>
        <v>6137</v>
      </c>
      <c r="M47" s="7">
        <f t="shared" si="6"/>
        <v>7103</v>
      </c>
      <c r="N47" s="7">
        <f t="shared" si="6"/>
        <v>6199</v>
      </c>
      <c r="O47" s="8"/>
      <c r="P47" s="8"/>
      <c r="Q47" s="8"/>
      <c r="R47" s="8"/>
      <c r="S47" s="8"/>
    </row>
    <row r="48" spans="2:19" ht="12">
      <c r="B48" s="3" t="s">
        <v>37</v>
      </c>
      <c r="C48" s="7">
        <f>116.2*50</f>
        <v>5810</v>
      </c>
      <c r="D48" s="7">
        <f>93.4*50</f>
        <v>4670</v>
      </c>
      <c r="E48" s="7">
        <f>102.7*50</f>
        <v>5135</v>
      </c>
      <c r="F48" s="7">
        <f>101.7*50</f>
        <v>5085</v>
      </c>
      <c r="G48" s="8">
        <v>5405</v>
      </c>
      <c r="H48" s="8">
        <v>4995</v>
      </c>
      <c r="I48" s="8">
        <v>4981</v>
      </c>
      <c r="J48" s="8">
        <v>4890</v>
      </c>
      <c r="K48" s="8">
        <v>5623</v>
      </c>
      <c r="L48" s="8">
        <v>4817</v>
      </c>
      <c r="M48" s="8">
        <v>5559</v>
      </c>
      <c r="N48" s="8">
        <v>4746</v>
      </c>
      <c r="O48" s="8"/>
      <c r="P48" s="8"/>
      <c r="Q48" s="8"/>
      <c r="R48" s="8"/>
      <c r="S48" s="8"/>
    </row>
    <row r="49" spans="2:19" ht="12">
      <c r="B49" s="3" t="s">
        <v>38</v>
      </c>
      <c r="C49" s="7">
        <f>10*50</f>
        <v>500</v>
      </c>
      <c r="D49" s="7">
        <f>10.1*50</f>
        <v>505</v>
      </c>
      <c r="E49" s="7">
        <f>7.6*50</f>
        <v>380</v>
      </c>
      <c r="F49" s="7">
        <f>10.2*50</f>
        <v>509.99999999999994</v>
      </c>
      <c r="G49" s="8">
        <v>555</v>
      </c>
      <c r="H49" s="8">
        <v>625</v>
      </c>
      <c r="I49" s="8">
        <v>549</v>
      </c>
      <c r="J49" s="8">
        <v>706</v>
      </c>
      <c r="K49" s="8">
        <v>705</v>
      </c>
      <c r="L49" s="8">
        <v>710</v>
      </c>
      <c r="M49" s="8">
        <v>841</v>
      </c>
      <c r="N49" s="8">
        <v>771</v>
      </c>
      <c r="O49" s="8"/>
      <c r="P49" s="8"/>
      <c r="Q49" s="8"/>
      <c r="R49" s="8"/>
      <c r="S49" s="8"/>
    </row>
    <row r="50" spans="2:19" ht="12">
      <c r="B50" s="3" t="s">
        <v>39</v>
      </c>
      <c r="C50" s="7">
        <f>9.4*50</f>
        <v>470</v>
      </c>
      <c r="D50" s="7">
        <f>10.7*50</f>
        <v>535</v>
      </c>
      <c r="E50" s="7">
        <f>10.7*50</f>
        <v>535</v>
      </c>
      <c r="F50" s="7">
        <f>11.2*50</f>
        <v>560</v>
      </c>
      <c r="G50" s="8">
        <v>560</v>
      </c>
      <c r="H50" s="8">
        <v>605</v>
      </c>
      <c r="I50" s="8">
        <v>630</v>
      </c>
      <c r="J50" s="8">
        <v>647</v>
      </c>
      <c r="K50" s="8">
        <v>613</v>
      </c>
      <c r="L50" s="8">
        <v>608</v>
      </c>
      <c r="M50" s="8">
        <v>701</v>
      </c>
      <c r="N50" s="8">
        <v>680</v>
      </c>
      <c r="O50" s="8"/>
      <c r="P50" s="8"/>
      <c r="Q50" s="8"/>
      <c r="R50" s="8"/>
      <c r="S50" s="8"/>
    </row>
    <row r="51" spans="2:19" ht="12">
      <c r="B51" s="3" t="s">
        <v>40</v>
      </c>
      <c r="C51" s="7">
        <v>0</v>
      </c>
      <c r="D51" s="7">
        <v>0</v>
      </c>
      <c r="E51" s="7">
        <v>0</v>
      </c>
      <c r="F51" s="7">
        <v>0</v>
      </c>
      <c r="G51" s="8">
        <v>0</v>
      </c>
      <c r="H51" s="8">
        <v>5</v>
      </c>
      <c r="I51" s="8">
        <v>4</v>
      </c>
      <c r="J51" s="8">
        <v>5</v>
      </c>
      <c r="K51" s="8">
        <v>2</v>
      </c>
      <c r="L51" s="8">
        <v>2</v>
      </c>
      <c r="M51" s="8">
        <v>2</v>
      </c>
      <c r="N51" s="8">
        <v>2</v>
      </c>
      <c r="O51" s="8"/>
      <c r="P51" s="8"/>
      <c r="Q51" s="8"/>
      <c r="R51" s="8"/>
      <c r="S51" s="8"/>
    </row>
    <row r="52" spans="3:19" ht="1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">
      <c r="A53" s="1" t="s">
        <v>41</v>
      </c>
      <c r="C53" s="7">
        <f aca="true" t="shared" si="7" ref="C53:N53">SUM(C9,C14,C22,C30,C36,C41,C47)</f>
        <v>28460</v>
      </c>
      <c r="D53" s="7">
        <f t="shared" si="7"/>
        <v>27845</v>
      </c>
      <c r="E53" s="7">
        <f t="shared" si="7"/>
        <v>25970</v>
      </c>
      <c r="F53" s="7">
        <f t="shared" si="7"/>
        <v>26680</v>
      </c>
      <c r="G53" s="7">
        <f t="shared" si="7"/>
        <v>29245</v>
      </c>
      <c r="H53" s="7">
        <f t="shared" si="7"/>
        <v>28475</v>
      </c>
      <c r="I53" s="7">
        <f t="shared" si="7"/>
        <v>26036</v>
      </c>
      <c r="J53" s="7">
        <f t="shared" si="7"/>
        <v>25337</v>
      </c>
      <c r="K53" s="7">
        <f t="shared" si="7"/>
        <v>28223</v>
      </c>
      <c r="L53" s="7">
        <f t="shared" si="7"/>
        <v>27228</v>
      </c>
      <c r="M53" s="7">
        <f t="shared" si="7"/>
        <v>27304</v>
      </c>
      <c r="N53" s="7">
        <f t="shared" si="7"/>
        <v>27432</v>
      </c>
      <c r="O53" s="8"/>
      <c r="P53" s="8"/>
      <c r="Q53" s="8"/>
      <c r="R53" s="8"/>
      <c r="S53" s="8"/>
    </row>
    <row r="54" spans="1:19" ht="12">
      <c r="A54" s="1" t="s">
        <v>42</v>
      </c>
      <c r="C54" s="7">
        <v>28460</v>
      </c>
      <c r="D54" s="7">
        <v>28725</v>
      </c>
      <c r="E54" s="7">
        <v>25970</v>
      </c>
      <c r="F54" s="7">
        <v>26680</v>
      </c>
      <c r="G54" s="8">
        <v>29245</v>
      </c>
      <c r="H54" s="8">
        <v>28475</v>
      </c>
      <c r="I54" s="8">
        <v>26036</v>
      </c>
      <c r="J54" s="8">
        <v>25337</v>
      </c>
      <c r="K54" s="8">
        <v>28205</v>
      </c>
      <c r="L54" s="7">
        <v>26965</v>
      </c>
      <c r="M54" s="8">
        <v>27304</v>
      </c>
      <c r="N54" s="8">
        <v>27432</v>
      </c>
      <c r="O54" s="8"/>
      <c r="P54" s="8"/>
      <c r="Q54" s="8"/>
      <c r="R54" s="8"/>
      <c r="S54" s="8"/>
    </row>
    <row r="55" spans="3:19" ht="1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">
      <c r="A56" s="2"/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  <c r="P56" s="8"/>
      <c r="Q56" s="8"/>
      <c r="R56" s="8"/>
      <c r="S56" s="8"/>
    </row>
    <row r="57" spans="1:19" ht="12">
      <c r="A57" s="3" t="s">
        <v>43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>
      <c r="A58" s="3" t="s">
        <v>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3:19" ht="1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">
      <c r="A60" s="3" t="s">
        <v>45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">
      <c r="A61" s="3" t="s">
        <v>46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3:19" ht="1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3:19" ht="1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ht="1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ht="1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ht="1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 ht="1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3:19" ht="1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