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9120" activeTab="0"/>
  </bookViews>
  <sheets>
    <sheet name="TBL_51" sheetId="1" r:id="rId1"/>
  </sheets>
  <definedNames>
    <definedName name="\a">'TBL_51'!$P$1</definedName>
    <definedName name="_Key1" hidden="1">'TBL_51'!$O$9:$O$51</definedName>
    <definedName name="_Order1" hidden="1">255</definedName>
    <definedName name="_Regression_Int" localSheetId="0" hidden="1">1</definedName>
    <definedName name="_Sort" hidden="1">'TBL_51'!$M$9:$O$51</definedName>
    <definedName name="MACRO">'TBL_51'!$O$1:$P$14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<sst xmlns="http://schemas.openxmlformats.org/spreadsheetml/2006/main" count="54" uniqueCount="46">
  <si>
    <t>Table 51--Corn area, by region and province, China, 1979-90</t>
  </si>
  <si>
    <t>Region/province</t>
  </si>
  <si>
    <t xml:space="preserve">     1,000 hectares</t>
  </si>
  <si>
    <t>Northeast</t>
  </si>
  <si>
    <t>Heilongjiang</t>
  </si>
  <si>
    <t>Liaoning</t>
  </si>
  <si>
    <t>Jilin</t>
  </si>
  <si>
    <t>North</t>
  </si>
  <si>
    <t>Shandong</t>
  </si>
  <si>
    <t>Hebei</t>
  </si>
  <si>
    <t>Beijing</t>
  </si>
  <si>
    <t>Tianjin</t>
  </si>
  <si>
    <t>Henan</t>
  </si>
  <si>
    <t>Shanxi</t>
  </si>
  <si>
    <t>Northwest</t>
  </si>
  <si>
    <t>Shaanxi</t>
  </si>
  <si>
    <t>Gansu</t>
  </si>
  <si>
    <t>Nei Monggol</t>
  </si>
  <si>
    <t>Ningxia</t>
  </si>
  <si>
    <t>Xinjiang</t>
  </si>
  <si>
    <t>Qinghai</t>
  </si>
  <si>
    <t>East</t>
  </si>
  <si>
    <t>Zhejiang</t>
  </si>
  <si>
    <t>Jiangsu</t>
  </si>
  <si>
    <t>Shanghai</t>
  </si>
  <si>
    <t>Anhui</t>
  </si>
  <si>
    <t>Central</t>
  </si>
  <si>
    <t>Hubei</t>
  </si>
  <si>
    <t>Hunan</t>
  </si>
  <si>
    <t>Jiangxi</t>
  </si>
  <si>
    <t>South</t>
  </si>
  <si>
    <t>Guangdong</t>
  </si>
  <si>
    <t>Guangxi</t>
  </si>
  <si>
    <t>Fujian</t>
  </si>
  <si>
    <t>Hainan—u1</t>
  </si>
  <si>
    <t>na</t>
  </si>
  <si>
    <t>Southwest</t>
  </si>
  <si>
    <t>Sichuan</t>
  </si>
  <si>
    <t>Guizhou</t>
  </si>
  <si>
    <t>Yunnan</t>
  </si>
  <si>
    <t>Xizang</t>
  </si>
  <si>
    <t>Sum of above</t>
  </si>
  <si>
    <t>SSB total</t>
  </si>
  <si>
    <t xml:space="preserve">    —u1˜ Hainan data only available beginning in 1988 -- prior years included in Guangdong.</t>
  </si>
  <si>
    <t xml:space="preserve">    Sources:  (3, p. 27), (4, p. 37), (5, p. 40), (6, p. 88), (7, p. 148), (8, p. 183), (9, p. 216), (10, p. 234), (11, p. 262), (34, p. 359)</t>
  </si>
  <si>
    <t>and (35, p. 342).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</si>
</sst>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_)"/>
    <numFmt numFmtId="165" formatCode="#,##0_);\(#,##0\)"/>
  </numFmts>
  <fonts count="3">
    <font>
      <sz val="10"/>
      <name val="Courier"/>
      <family val="0"/>
    </font>
    <font>
      <sz val="10"/>
      <name val="Arial"/>
      <family val="0"/>
    </font>
    <font>
      <sz val="10"/>
      <color indexed="12"/>
      <name val="Courie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164" fontId="2" fillId="0" borderId="0" xfId="0" applyNumberFormat="1" applyFont="1" applyAlignment="1" applyProtection="1">
      <alignment/>
      <protection locked="0"/>
    </xf>
    <xf numFmtId="164" fontId="2" fillId="0" borderId="0" xfId="0" applyNumberFormat="1" applyFont="1" applyAlignment="1" applyProtection="1">
      <alignment horizontal="left"/>
      <protection locked="0"/>
    </xf>
    <xf numFmtId="165" fontId="2" fillId="0" borderId="0" xfId="0" applyNumberFormat="1" applyFont="1" applyAlignment="1" applyProtection="1">
      <alignment/>
      <protection locked="0"/>
    </xf>
    <xf numFmtId="165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 horizontal="right"/>
      <protection/>
    </xf>
    <xf numFmtId="164" fontId="0" fillId="0" borderId="0" xfId="0" applyNumberFormat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S69"/>
  <sheetViews>
    <sheetView showGridLines="0" tabSelected="1" workbookViewId="0" topLeftCell="A1">
      <selection activeCell="A1" sqref="A1"/>
    </sheetView>
  </sheetViews>
  <sheetFormatPr defaultColWidth="11.625" defaultRowHeight="12.75"/>
  <cols>
    <col min="1" max="1" width="2.625" style="0" customWidth="1"/>
    <col min="2" max="2" width="13.625" style="0" customWidth="1"/>
    <col min="3" max="14" width="7.625" style="0" customWidth="1"/>
  </cols>
  <sheetData>
    <row r="1" ht="12">
      <c r="A1" s="1" t="s">
        <v>0</v>
      </c>
    </row>
    <row r="3" ht="12">
      <c r="B3" s="2"/>
    </row>
    <row r="4" spans="1:14" ht="12">
      <c r="A4" s="3" t="s">
        <v>1</v>
      </c>
      <c r="B4" s="2"/>
      <c r="C4" s="2">
        <v>1979</v>
      </c>
      <c r="D4" s="2">
        <v>1980</v>
      </c>
      <c r="E4" s="2">
        <v>1981</v>
      </c>
      <c r="F4" s="2">
        <v>1982</v>
      </c>
      <c r="G4" s="4">
        <v>1983</v>
      </c>
      <c r="H4" s="4">
        <v>1984</v>
      </c>
      <c r="I4" s="4">
        <v>1985</v>
      </c>
      <c r="J4" s="4">
        <v>1986</v>
      </c>
      <c r="K4" s="4">
        <v>1987</v>
      </c>
      <c r="L4" s="4">
        <v>1988</v>
      </c>
      <c r="M4" s="4">
        <v>1989</v>
      </c>
      <c r="N4" s="4">
        <v>1990</v>
      </c>
    </row>
    <row r="5" spans="1:9" ht="12">
      <c r="A5" s="2"/>
      <c r="B5" s="2"/>
      <c r="C5" s="2"/>
      <c r="D5" s="2"/>
      <c r="E5" s="2"/>
      <c r="F5" s="2"/>
      <c r="G5" s="2"/>
      <c r="H5" s="2"/>
      <c r="I5" s="2"/>
    </row>
    <row r="6" spans="1:14" ht="12">
      <c r="A6" s="2"/>
      <c r="B6" s="2"/>
      <c r="F6" s="2"/>
      <c r="G6" s="2"/>
      <c r="H6" s="2"/>
      <c r="I6" s="2"/>
      <c r="J6" s="2"/>
      <c r="K6" s="2"/>
      <c r="L6" s="2"/>
      <c r="M6" s="2"/>
      <c r="N6" s="2"/>
    </row>
    <row r="7" spans="3:8" ht="12">
      <c r="C7" s="5"/>
      <c r="H7" s="6" t="s">
        <v>2</v>
      </c>
    </row>
    <row r="8" ht="12">
      <c r="E8" s="5"/>
    </row>
    <row r="9" spans="1:19" ht="12">
      <c r="A9" s="3" t="s">
        <v>3</v>
      </c>
      <c r="B9" s="2"/>
      <c r="C9" s="7">
        <f aca="true" t="shared" si="0" ref="C9:N9">SUM(C10:C12)</f>
        <v>4948.133333333333</v>
      </c>
      <c r="D9" s="7">
        <f t="shared" si="0"/>
        <v>4982.066666666667</v>
      </c>
      <c r="E9" s="7">
        <f t="shared" si="0"/>
        <v>4396.133333333333</v>
      </c>
      <c r="F9" s="7">
        <f t="shared" si="0"/>
        <v>4124</v>
      </c>
      <c r="G9" s="7">
        <f t="shared" si="0"/>
        <v>4577</v>
      </c>
      <c r="H9" s="7">
        <f t="shared" si="0"/>
        <v>5006</v>
      </c>
      <c r="I9" s="7">
        <f t="shared" si="0"/>
        <v>4455</v>
      </c>
      <c r="J9" s="7">
        <f t="shared" si="0"/>
        <v>4937</v>
      </c>
      <c r="K9" s="7">
        <f t="shared" si="0"/>
        <v>5438.799999999999</v>
      </c>
      <c r="L9" s="7">
        <f t="shared" si="0"/>
        <v>5132.733333333333</v>
      </c>
      <c r="M9" s="7">
        <f t="shared" si="0"/>
        <v>5199.799999999999</v>
      </c>
      <c r="N9" s="7">
        <f t="shared" si="0"/>
        <v>5753.333333333333</v>
      </c>
      <c r="O9" s="8"/>
      <c r="P9" s="8"/>
      <c r="Q9" s="8"/>
      <c r="R9" s="8"/>
      <c r="S9" s="8"/>
    </row>
    <row r="10" spans="1:19" ht="12">
      <c r="A10" s="2"/>
      <c r="B10" s="3" t="s">
        <v>4</v>
      </c>
      <c r="C10" s="7">
        <f>2941.2/1.5</f>
        <v>1960.8</v>
      </c>
      <c r="D10" s="7">
        <f>2826/1.5</f>
        <v>1884</v>
      </c>
      <c r="E10" s="7">
        <f>23655/15</f>
        <v>1577</v>
      </c>
      <c r="F10" s="7">
        <v>1363</v>
      </c>
      <c r="G10" s="8">
        <v>1642</v>
      </c>
      <c r="H10" s="8">
        <v>1920</v>
      </c>
      <c r="I10" s="8">
        <v>1577</v>
      </c>
      <c r="J10" s="8">
        <v>1689</v>
      </c>
      <c r="K10" s="8">
        <v>1975.5</v>
      </c>
      <c r="L10" s="8">
        <v>1827.4666666666665</v>
      </c>
      <c r="M10" s="8">
        <v>1903.4666666666665</v>
      </c>
      <c r="N10" s="8">
        <v>2168.6</v>
      </c>
      <c r="O10" s="8"/>
      <c r="P10" s="8"/>
      <c r="Q10" s="8"/>
      <c r="R10" s="8"/>
      <c r="S10" s="8"/>
    </row>
    <row r="11" spans="1:19" ht="12">
      <c r="A11" s="2"/>
      <c r="B11" s="3" t="s">
        <v>5</v>
      </c>
      <c r="C11" s="7">
        <f>2087.6/1.5</f>
        <v>1391.7333333333333</v>
      </c>
      <c r="D11" s="7">
        <f>2124.3/1.5</f>
        <v>1416.2</v>
      </c>
      <c r="E11" s="7">
        <f>19017/15</f>
        <v>1267.8</v>
      </c>
      <c r="F11" s="7">
        <v>1156</v>
      </c>
      <c r="G11" s="8">
        <v>1220</v>
      </c>
      <c r="H11" s="8">
        <v>1231</v>
      </c>
      <c r="I11" s="8">
        <v>1198</v>
      </c>
      <c r="J11" s="8">
        <v>1258</v>
      </c>
      <c r="K11" s="8">
        <v>1341.1</v>
      </c>
      <c r="L11" s="8">
        <v>1318</v>
      </c>
      <c r="M11" s="8">
        <v>1313.2</v>
      </c>
      <c r="N11" s="8">
        <v>1365.6666666666667</v>
      </c>
      <c r="O11" s="8"/>
      <c r="P11" s="8"/>
      <c r="Q11" s="8"/>
      <c r="R11" s="8"/>
      <c r="S11" s="8"/>
    </row>
    <row r="12" spans="1:19" ht="12">
      <c r="A12" s="2"/>
      <c r="B12" s="3" t="s">
        <v>6</v>
      </c>
      <c r="C12" s="7">
        <f>2393.4/1.5</f>
        <v>1595.6000000000001</v>
      </c>
      <c r="D12" s="7">
        <f>2522.8/1.5</f>
        <v>1681.8666666666668</v>
      </c>
      <c r="E12" s="7">
        <f>23270/15</f>
        <v>1551.3333333333333</v>
      </c>
      <c r="F12" s="7">
        <v>1605</v>
      </c>
      <c r="G12" s="8">
        <v>1715</v>
      </c>
      <c r="H12" s="8">
        <v>1855</v>
      </c>
      <c r="I12" s="8">
        <v>1680</v>
      </c>
      <c r="J12" s="8">
        <v>1990</v>
      </c>
      <c r="K12" s="8">
        <v>2122.2</v>
      </c>
      <c r="L12" s="8">
        <v>1987.2666666666667</v>
      </c>
      <c r="M12" s="8">
        <v>1983.1333333333332</v>
      </c>
      <c r="N12" s="8">
        <v>2219.0666666666666</v>
      </c>
      <c r="O12" s="8"/>
      <c r="P12" s="8"/>
      <c r="Q12" s="8"/>
      <c r="R12" s="8"/>
      <c r="S12" s="8"/>
    </row>
    <row r="13" spans="1:19" ht="12">
      <c r="A13" s="2"/>
      <c r="B13" s="2"/>
      <c r="C13" s="8"/>
      <c r="D13" s="8"/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</row>
    <row r="14" spans="1:19" ht="12">
      <c r="A14" s="3" t="s">
        <v>7</v>
      </c>
      <c r="B14" s="2"/>
      <c r="C14" s="7">
        <f aca="true" t="shared" si="1" ref="C14:N14">SUM(C15:C20)</f>
        <v>7244.133333333334</v>
      </c>
      <c r="D14" s="7">
        <f t="shared" si="1"/>
        <v>7272.533333333332</v>
      </c>
      <c r="E14" s="7">
        <f t="shared" si="1"/>
        <v>7207.333333333332</v>
      </c>
      <c r="F14" s="7">
        <f t="shared" si="1"/>
        <v>6818</v>
      </c>
      <c r="G14" s="7">
        <f t="shared" si="1"/>
        <v>24923</v>
      </c>
      <c r="H14" s="7">
        <f t="shared" si="1"/>
        <v>6378</v>
      </c>
      <c r="I14" s="7">
        <f t="shared" si="1"/>
        <v>6351</v>
      </c>
      <c r="J14" s="7">
        <f t="shared" si="1"/>
        <v>6959</v>
      </c>
      <c r="K14" s="7">
        <f t="shared" si="1"/>
        <v>7228.300000000001</v>
      </c>
      <c r="L14" s="7">
        <f t="shared" si="1"/>
        <v>7045.533333333334</v>
      </c>
      <c r="M14" s="7">
        <f t="shared" si="1"/>
        <v>7405.2</v>
      </c>
      <c r="N14" s="7">
        <f t="shared" si="1"/>
        <v>7644.866666666667</v>
      </c>
      <c r="O14" s="8"/>
      <c r="P14" s="8"/>
      <c r="Q14" s="8"/>
      <c r="R14" s="8"/>
      <c r="S14" s="8"/>
    </row>
    <row r="15" spans="1:19" ht="12">
      <c r="A15" s="2"/>
      <c r="B15" s="3" t="s">
        <v>8</v>
      </c>
      <c r="C15" s="7">
        <f>3204.3/1.5</f>
        <v>2136.2000000000003</v>
      </c>
      <c r="D15" s="7">
        <f>3214.1/1.5</f>
        <v>2142.733333333333</v>
      </c>
      <c r="E15" s="7">
        <f>33011/15</f>
        <v>2200.733333333333</v>
      </c>
      <c r="F15" s="7">
        <v>2167</v>
      </c>
      <c r="G15" s="8">
        <v>2192</v>
      </c>
      <c r="H15" s="8">
        <v>2070</v>
      </c>
      <c r="I15" s="8">
        <v>2088</v>
      </c>
      <c r="J15" s="8">
        <v>2244</v>
      </c>
      <c r="K15" s="8">
        <v>2314.5</v>
      </c>
      <c r="L15" s="8">
        <v>2323.666666666667</v>
      </c>
      <c r="M15" s="8">
        <v>2398.0666666666666</v>
      </c>
      <c r="N15" s="8">
        <v>2405.2</v>
      </c>
      <c r="O15" s="8"/>
      <c r="P15" s="8"/>
      <c r="Q15" s="8"/>
      <c r="R15" s="8"/>
      <c r="S15" s="8"/>
    </row>
    <row r="16" spans="1:19" ht="12">
      <c r="A16" s="2"/>
      <c r="B16" s="3" t="s">
        <v>9</v>
      </c>
      <c r="C16" s="7">
        <f>3459.6/1.5</f>
        <v>2306.4</v>
      </c>
      <c r="D16" s="7">
        <f>3511.4/1.5</f>
        <v>2340.9333333333334</v>
      </c>
      <c r="E16" s="7">
        <f>34281/15</f>
        <v>2285.4</v>
      </c>
      <c r="F16" s="7">
        <v>2073</v>
      </c>
      <c r="G16" s="8">
        <v>20002</v>
      </c>
      <c r="H16" s="8">
        <v>1817</v>
      </c>
      <c r="I16" s="8">
        <v>1749</v>
      </c>
      <c r="J16" s="8">
        <v>1900</v>
      </c>
      <c r="K16" s="8">
        <v>1983.3</v>
      </c>
      <c r="L16" s="8">
        <v>1944.6</v>
      </c>
      <c r="M16" s="8">
        <v>1995.2</v>
      </c>
      <c r="N16" s="8">
        <v>2040.8</v>
      </c>
      <c r="O16" s="8"/>
      <c r="P16" s="8"/>
      <c r="Q16" s="8"/>
      <c r="R16" s="8"/>
      <c r="S16" s="8"/>
    </row>
    <row r="17" spans="1:19" ht="12">
      <c r="A17" s="2"/>
      <c r="B17" s="3" t="s">
        <v>10</v>
      </c>
      <c r="C17" s="7">
        <f>273.4/1.5</f>
        <v>182.26666666666665</v>
      </c>
      <c r="D17" s="7">
        <f>296.1/1.5</f>
        <v>197.4</v>
      </c>
      <c r="E17" s="7">
        <f>2969/15</f>
        <v>197.93333333333334</v>
      </c>
      <c r="F17" s="7">
        <v>197</v>
      </c>
      <c r="G17" s="8">
        <v>201</v>
      </c>
      <c r="H17" s="8">
        <v>206</v>
      </c>
      <c r="I17" s="8">
        <v>217</v>
      </c>
      <c r="J17" s="8">
        <v>216</v>
      </c>
      <c r="K17" s="8">
        <v>223.1</v>
      </c>
      <c r="L17" s="8">
        <v>221.66666666666669</v>
      </c>
      <c r="M17" s="8">
        <v>219.13333333333333</v>
      </c>
      <c r="N17" s="8">
        <v>223.73333333333335</v>
      </c>
      <c r="O17" s="8"/>
      <c r="P17" s="8"/>
      <c r="Q17" s="8"/>
      <c r="R17" s="8"/>
      <c r="S17" s="8"/>
    </row>
    <row r="18" spans="1:19" ht="12">
      <c r="A18" s="2"/>
      <c r="B18" s="3" t="s">
        <v>11</v>
      </c>
      <c r="C18" s="7">
        <f>236.6/1.5</f>
        <v>157.73333333333332</v>
      </c>
      <c r="D18" s="7">
        <f>253.5/1.5</f>
        <v>169</v>
      </c>
      <c r="E18" s="7">
        <f>2718/15</f>
        <v>181.2</v>
      </c>
      <c r="F18" s="7">
        <v>189</v>
      </c>
      <c r="G18" s="8">
        <v>177</v>
      </c>
      <c r="H18" s="8">
        <v>157</v>
      </c>
      <c r="I18" s="8">
        <v>136</v>
      </c>
      <c r="J18" s="8">
        <v>147</v>
      </c>
      <c r="K18" s="8">
        <v>153.1</v>
      </c>
      <c r="L18" s="8">
        <v>146.33333333333334</v>
      </c>
      <c r="M18" s="8">
        <v>151.53333333333333</v>
      </c>
      <c r="N18" s="8">
        <v>161.46666666666667</v>
      </c>
      <c r="O18" s="8"/>
      <c r="P18" s="8"/>
      <c r="Q18" s="8"/>
      <c r="R18" s="8"/>
      <c r="S18" s="8"/>
    </row>
    <row r="19" spans="1:19" ht="12">
      <c r="A19" s="2"/>
      <c r="B19" s="3" t="s">
        <v>12</v>
      </c>
      <c r="C19" s="7">
        <f>2546.5/1.5</f>
        <v>1697.6666666666667</v>
      </c>
      <c r="D19" s="7">
        <f>2520.2/1.5</f>
        <v>1680.1333333333332</v>
      </c>
      <c r="E19" s="7">
        <f>25448/15</f>
        <v>1696.5333333333333</v>
      </c>
      <c r="F19" s="7">
        <v>1598</v>
      </c>
      <c r="G19" s="8">
        <v>1768</v>
      </c>
      <c r="H19" s="8">
        <v>1521</v>
      </c>
      <c r="I19" s="8">
        <v>1664</v>
      </c>
      <c r="J19" s="8">
        <v>1885</v>
      </c>
      <c r="K19" s="8">
        <v>1936.5</v>
      </c>
      <c r="L19" s="8">
        <v>1833.6</v>
      </c>
      <c r="M19" s="8">
        <v>2035.2</v>
      </c>
      <c r="N19" s="8">
        <v>2176.866666666667</v>
      </c>
      <c r="O19" s="8"/>
      <c r="P19" s="8"/>
      <c r="Q19" s="8"/>
      <c r="R19" s="8"/>
      <c r="S19" s="8"/>
    </row>
    <row r="20" spans="1:19" ht="12">
      <c r="A20" s="2"/>
      <c r="B20" s="3" t="s">
        <v>13</v>
      </c>
      <c r="C20" s="7">
        <f>1145.8/1.5</f>
        <v>763.8666666666667</v>
      </c>
      <c r="D20" s="7">
        <f>1113.5/1.5</f>
        <v>742.3333333333334</v>
      </c>
      <c r="E20" s="7">
        <f>9683/15</f>
        <v>645.5333333333333</v>
      </c>
      <c r="F20" s="7">
        <v>594</v>
      </c>
      <c r="G20" s="8">
        <v>583</v>
      </c>
      <c r="H20" s="8">
        <v>607</v>
      </c>
      <c r="I20" s="8">
        <v>497</v>
      </c>
      <c r="J20" s="8">
        <v>567</v>
      </c>
      <c r="K20" s="8">
        <v>617.8</v>
      </c>
      <c r="L20" s="8">
        <v>575.6666666666667</v>
      </c>
      <c r="M20" s="8">
        <v>606.0666666666667</v>
      </c>
      <c r="N20" s="8">
        <v>636.8</v>
      </c>
      <c r="O20" s="8"/>
      <c r="P20" s="8"/>
      <c r="Q20" s="8"/>
      <c r="R20" s="8"/>
      <c r="S20" s="8"/>
    </row>
    <row r="21" spans="1:19" ht="12">
      <c r="A21" s="2"/>
      <c r="B21" s="2"/>
      <c r="C21" s="8"/>
      <c r="D21" s="8"/>
      <c r="E21" s="7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</row>
    <row r="22" spans="1:19" ht="12">
      <c r="A22" s="3" t="s">
        <v>14</v>
      </c>
      <c r="B22" s="2"/>
      <c r="C22" s="7">
        <f aca="true" t="shared" si="2" ref="C22:N22">SUM(C23:C28)</f>
        <v>2633.8</v>
      </c>
      <c r="D22" s="7">
        <f t="shared" si="2"/>
        <v>2631.4000000000005</v>
      </c>
      <c r="E22" s="7">
        <f t="shared" si="2"/>
        <v>2427</v>
      </c>
      <c r="F22" s="7">
        <f t="shared" si="2"/>
        <v>2262</v>
      </c>
      <c r="G22" s="7">
        <f t="shared" si="2"/>
        <v>2169</v>
      </c>
      <c r="H22" s="7">
        <f t="shared" si="2"/>
        <v>2124</v>
      </c>
      <c r="I22" s="7">
        <f t="shared" si="2"/>
        <v>2056</v>
      </c>
      <c r="J22" s="7">
        <f t="shared" si="2"/>
        <v>2253</v>
      </c>
      <c r="K22" s="7">
        <f t="shared" si="2"/>
        <v>2412</v>
      </c>
      <c r="L22" s="7">
        <f t="shared" si="2"/>
        <v>2407.2666666666664</v>
      </c>
      <c r="M22" s="7">
        <f t="shared" si="2"/>
        <v>2487.6666666666665</v>
      </c>
      <c r="N22" s="7">
        <f t="shared" si="2"/>
        <v>2617.3333333333335</v>
      </c>
      <c r="O22" s="8"/>
      <c r="P22" s="8"/>
      <c r="Q22" s="8"/>
      <c r="R22" s="8"/>
      <c r="S22" s="8"/>
    </row>
    <row r="23" spans="1:19" ht="12">
      <c r="A23" s="2"/>
      <c r="B23" s="3" t="s">
        <v>15</v>
      </c>
      <c r="C23" s="7">
        <f>1555.8/1.5</f>
        <v>1037.2</v>
      </c>
      <c r="D23" s="7">
        <f>1615.1/1.5</f>
        <v>1076.7333333333333</v>
      </c>
      <c r="E23" s="7">
        <f>15110/15</f>
        <v>1007.3333333333334</v>
      </c>
      <c r="F23" s="7">
        <v>988</v>
      </c>
      <c r="G23" s="8">
        <v>944</v>
      </c>
      <c r="H23" s="8">
        <v>951</v>
      </c>
      <c r="I23" s="8">
        <v>951</v>
      </c>
      <c r="J23" s="8">
        <v>950</v>
      </c>
      <c r="K23" s="8">
        <v>1015.9</v>
      </c>
      <c r="L23" s="8">
        <v>940</v>
      </c>
      <c r="M23" s="8">
        <v>995.6</v>
      </c>
      <c r="N23" s="8">
        <v>1024.6666666666667</v>
      </c>
      <c r="O23" s="8"/>
      <c r="P23" s="8"/>
      <c r="Q23" s="8"/>
      <c r="R23" s="8"/>
      <c r="S23" s="8"/>
    </row>
    <row r="24" spans="1:19" ht="12">
      <c r="A24" s="2"/>
      <c r="B24" s="3" t="s">
        <v>16</v>
      </c>
      <c r="C24" s="7">
        <f>463.8/1.5</f>
        <v>309.2</v>
      </c>
      <c r="D24" s="7">
        <f>477.3/1.5</f>
        <v>318.2</v>
      </c>
      <c r="E24" s="7">
        <f>4506/15</f>
        <v>300.4</v>
      </c>
      <c r="F24" s="7">
        <v>267</v>
      </c>
      <c r="G24" s="8">
        <v>241</v>
      </c>
      <c r="H24" s="8">
        <v>227</v>
      </c>
      <c r="I24" s="8">
        <v>218</v>
      </c>
      <c r="J24" s="8">
        <v>233</v>
      </c>
      <c r="K24" s="8">
        <v>252.9</v>
      </c>
      <c r="L24" s="8">
        <v>290</v>
      </c>
      <c r="M24" s="8">
        <v>288.73333333333335</v>
      </c>
      <c r="N24" s="8">
        <v>300.4</v>
      </c>
      <c r="O24" s="8"/>
      <c r="P24" s="8"/>
      <c r="Q24" s="8"/>
      <c r="R24" s="8"/>
      <c r="S24" s="8"/>
    </row>
    <row r="25" spans="1:19" ht="12">
      <c r="A25" s="2"/>
      <c r="B25" s="3" t="s">
        <v>17</v>
      </c>
      <c r="C25" s="7">
        <f>1005.2/1.5</f>
        <v>670.1333333333333</v>
      </c>
      <c r="D25" s="7">
        <f>979.2/1.5</f>
        <v>652.8000000000001</v>
      </c>
      <c r="E25" s="7">
        <f>8876/15</f>
        <v>591.7333333333333</v>
      </c>
      <c r="F25" s="7">
        <v>505</v>
      </c>
      <c r="G25" s="8">
        <v>494</v>
      </c>
      <c r="H25" s="8">
        <v>464</v>
      </c>
      <c r="I25" s="8">
        <v>434</v>
      </c>
      <c r="J25" s="8">
        <v>588</v>
      </c>
      <c r="K25" s="8">
        <v>660.1</v>
      </c>
      <c r="L25" s="8">
        <v>668.6</v>
      </c>
      <c r="M25" s="8">
        <v>695.5333333333333</v>
      </c>
      <c r="N25" s="8">
        <v>773.5333333333333</v>
      </c>
      <c r="O25" s="8"/>
      <c r="P25" s="8"/>
      <c r="Q25" s="8"/>
      <c r="R25" s="8"/>
      <c r="S25" s="8"/>
    </row>
    <row r="26" spans="1:19" ht="12">
      <c r="A26" s="2"/>
      <c r="B26" s="3" t="s">
        <v>18</v>
      </c>
      <c r="C26" s="7">
        <f>31/1.5</f>
        <v>20.666666666666668</v>
      </c>
      <c r="D26" s="7">
        <f>41.8/1.5</f>
        <v>27.866666666666664</v>
      </c>
      <c r="E26" s="7">
        <f>364/15</f>
        <v>24.266666666666666</v>
      </c>
      <c r="F26" s="7">
        <v>20</v>
      </c>
      <c r="G26" s="8">
        <v>21</v>
      </c>
      <c r="H26" s="8">
        <v>32</v>
      </c>
      <c r="I26" s="8">
        <v>35</v>
      </c>
      <c r="J26" s="8">
        <v>46</v>
      </c>
      <c r="K26" s="8">
        <v>63.1</v>
      </c>
      <c r="L26" s="8">
        <v>74.86666666666666</v>
      </c>
      <c r="M26" s="8">
        <v>73.73333333333333</v>
      </c>
      <c r="N26" s="8">
        <v>76.33333333333333</v>
      </c>
      <c r="O26" s="8"/>
      <c r="P26" s="8"/>
      <c r="Q26" s="8"/>
      <c r="R26" s="8"/>
      <c r="S26" s="8"/>
    </row>
    <row r="27" spans="1:19" ht="12">
      <c r="A27" s="2"/>
      <c r="B27" s="3" t="s">
        <v>19</v>
      </c>
      <c r="C27" s="7">
        <f>894.9/1.5</f>
        <v>596.6</v>
      </c>
      <c r="D27" s="7">
        <f>833.7/1.5</f>
        <v>555.8000000000001</v>
      </c>
      <c r="E27" s="7">
        <f>7549/15</f>
        <v>503.26666666666665</v>
      </c>
      <c r="F27" s="7">
        <v>482</v>
      </c>
      <c r="G27" s="8">
        <v>469</v>
      </c>
      <c r="H27" s="8">
        <v>450</v>
      </c>
      <c r="I27" s="8">
        <v>418</v>
      </c>
      <c r="J27" s="8">
        <v>436</v>
      </c>
      <c r="K27" s="8">
        <v>420</v>
      </c>
      <c r="L27" s="8">
        <v>433.8</v>
      </c>
      <c r="M27" s="8">
        <v>434.06666666666666</v>
      </c>
      <c r="N27" s="8">
        <v>442.4</v>
      </c>
      <c r="O27" s="8"/>
      <c r="P27" s="8"/>
      <c r="Q27" s="8"/>
      <c r="R27" s="8"/>
      <c r="S27" s="8"/>
    </row>
    <row r="28" spans="1:19" ht="12">
      <c r="A28" s="2"/>
      <c r="B28" s="3" t="s">
        <v>20</v>
      </c>
      <c r="C28" s="7">
        <v>0</v>
      </c>
      <c r="D28" s="7">
        <v>0</v>
      </c>
      <c r="E28" s="7">
        <v>0</v>
      </c>
      <c r="F28" s="7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/>
      <c r="P28" s="8"/>
      <c r="Q28" s="8"/>
      <c r="R28" s="8"/>
      <c r="S28" s="8"/>
    </row>
    <row r="29" spans="1:19" ht="12">
      <c r="A29" s="2"/>
      <c r="B29" s="2"/>
      <c r="C29" s="8"/>
      <c r="D29" s="8"/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</row>
    <row r="30" spans="1:19" ht="12">
      <c r="A30" s="3" t="s">
        <v>21</v>
      </c>
      <c r="B30" s="2"/>
      <c r="C30" s="7">
        <f aca="true" t="shared" si="3" ref="C30:N30">SUM(C31:C34)</f>
        <v>719.4666666666667</v>
      </c>
      <c r="D30" s="7">
        <f t="shared" si="3"/>
        <v>625.2666666666667</v>
      </c>
      <c r="E30" s="7">
        <f t="shared" si="3"/>
        <v>665.4</v>
      </c>
      <c r="F30" s="7">
        <f t="shared" si="3"/>
        <v>676</v>
      </c>
      <c r="G30" s="7">
        <f t="shared" si="3"/>
        <v>647</v>
      </c>
      <c r="H30" s="7">
        <f t="shared" si="3"/>
        <v>658</v>
      </c>
      <c r="I30" s="7">
        <f t="shared" si="3"/>
        <v>735</v>
      </c>
      <c r="J30" s="7">
        <f t="shared" si="3"/>
        <v>781</v>
      </c>
      <c r="K30" s="7">
        <f t="shared" si="3"/>
        <v>837.3</v>
      </c>
      <c r="L30" s="7">
        <f t="shared" si="3"/>
        <v>814.7333333333333</v>
      </c>
      <c r="M30" s="7">
        <f t="shared" si="3"/>
        <v>889.7333333333333</v>
      </c>
      <c r="N30" s="7">
        <f t="shared" si="3"/>
        <v>934.3333333333333</v>
      </c>
      <c r="O30" s="8"/>
      <c r="P30" s="8"/>
      <c r="Q30" s="8"/>
      <c r="R30" s="8"/>
      <c r="S30" s="8"/>
    </row>
    <row r="31" spans="1:19" ht="12">
      <c r="A31" s="2"/>
      <c r="B31" s="3" t="s">
        <v>22</v>
      </c>
      <c r="C31" s="7">
        <f>147.4/1.5</f>
        <v>98.26666666666667</v>
      </c>
      <c r="D31" s="7">
        <f>98.3/1.5</f>
        <v>65.53333333333333</v>
      </c>
      <c r="E31" s="7">
        <f>975/15</f>
        <v>65</v>
      </c>
      <c r="F31" s="7">
        <v>63</v>
      </c>
      <c r="G31" s="8">
        <v>52</v>
      </c>
      <c r="H31" s="8">
        <v>47</v>
      </c>
      <c r="I31" s="8">
        <v>45</v>
      </c>
      <c r="J31" s="8">
        <v>42</v>
      </c>
      <c r="K31" s="8">
        <v>41.3</v>
      </c>
      <c r="L31" s="8">
        <v>43</v>
      </c>
      <c r="M31" s="8">
        <v>46.2</v>
      </c>
      <c r="N31" s="8">
        <v>48</v>
      </c>
      <c r="O31" s="8"/>
      <c r="P31" s="8"/>
      <c r="Q31" s="8"/>
      <c r="R31" s="8"/>
      <c r="S31" s="8"/>
    </row>
    <row r="32" spans="1:19" ht="12">
      <c r="A32" s="2"/>
      <c r="B32" s="3" t="s">
        <v>23</v>
      </c>
      <c r="C32" s="7">
        <f>615/1.5</f>
        <v>410</v>
      </c>
      <c r="D32" s="7">
        <f>579.3/1.5</f>
        <v>386.2</v>
      </c>
      <c r="E32" s="7">
        <f>6674/15</f>
        <v>444.93333333333334</v>
      </c>
      <c r="F32" s="7">
        <v>483</v>
      </c>
      <c r="G32" s="8">
        <v>457</v>
      </c>
      <c r="H32" s="8">
        <v>431</v>
      </c>
      <c r="I32" s="8">
        <v>460</v>
      </c>
      <c r="J32" s="8">
        <v>483</v>
      </c>
      <c r="K32" s="8">
        <v>495.5</v>
      </c>
      <c r="L32" s="8">
        <v>475</v>
      </c>
      <c r="M32" s="8">
        <v>501.1333333333334</v>
      </c>
      <c r="N32" s="8">
        <v>461</v>
      </c>
      <c r="O32" s="8"/>
      <c r="P32" s="8"/>
      <c r="Q32" s="8"/>
      <c r="R32" s="8"/>
      <c r="S32" s="8"/>
    </row>
    <row r="33" spans="1:19" ht="12">
      <c r="A33" s="2"/>
      <c r="B33" s="3" t="s">
        <v>24</v>
      </c>
      <c r="C33" s="7">
        <f>19.3/1.5</f>
        <v>12.866666666666667</v>
      </c>
      <c r="D33" s="7">
        <f>14.5/1.5</f>
        <v>9.666666666666666</v>
      </c>
      <c r="E33" s="7">
        <f>95/15</f>
        <v>6.333333333333333</v>
      </c>
      <c r="F33" s="7">
        <v>7</v>
      </c>
      <c r="G33" s="8">
        <v>6</v>
      </c>
      <c r="H33" s="8">
        <v>5</v>
      </c>
      <c r="I33" s="8">
        <v>6</v>
      </c>
      <c r="J33" s="8">
        <v>10</v>
      </c>
      <c r="K33" s="8">
        <v>9.9</v>
      </c>
      <c r="L33" s="8">
        <v>8.333333333333334</v>
      </c>
      <c r="M33" s="8">
        <v>8.733333333333333</v>
      </c>
      <c r="N33" s="8">
        <v>10.466666666666667</v>
      </c>
      <c r="O33" s="8"/>
      <c r="P33" s="8"/>
      <c r="Q33" s="8"/>
      <c r="R33" s="8"/>
      <c r="S33" s="8"/>
    </row>
    <row r="34" spans="1:19" ht="12">
      <c r="A34" s="2"/>
      <c r="B34" s="3" t="s">
        <v>25</v>
      </c>
      <c r="C34" s="7">
        <f>297.5/1.5</f>
        <v>198.33333333333334</v>
      </c>
      <c r="D34" s="7">
        <f>245.8/1.5</f>
        <v>163.86666666666667</v>
      </c>
      <c r="E34" s="7">
        <f>2237/15</f>
        <v>149.13333333333333</v>
      </c>
      <c r="F34" s="7">
        <v>123</v>
      </c>
      <c r="G34" s="8">
        <v>132</v>
      </c>
      <c r="H34" s="8">
        <v>175</v>
      </c>
      <c r="I34" s="8">
        <v>224</v>
      </c>
      <c r="J34" s="8">
        <v>246</v>
      </c>
      <c r="K34" s="8">
        <v>290.6</v>
      </c>
      <c r="L34" s="8">
        <v>288.4</v>
      </c>
      <c r="M34" s="8">
        <v>333.6666666666667</v>
      </c>
      <c r="N34" s="8">
        <v>414.8666666666666</v>
      </c>
      <c r="O34" s="8"/>
      <c r="P34" s="8"/>
      <c r="Q34" s="8"/>
      <c r="R34" s="8"/>
      <c r="S34" s="8"/>
    </row>
    <row r="35" spans="1:19" ht="12">
      <c r="A35" s="2"/>
      <c r="B35" s="2"/>
      <c r="C35" s="8"/>
      <c r="D35" s="8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</row>
    <row r="36" spans="1:19" ht="12">
      <c r="A36" s="3" t="s">
        <v>26</v>
      </c>
      <c r="B36" s="2"/>
      <c r="C36" s="7">
        <f aca="true" t="shared" si="4" ref="C36:N36">SUM(C37:C39)</f>
        <v>577.4</v>
      </c>
      <c r="D36" s="7">
        <f t="shared" si="4"/>
        <v>562.7333333333332</v>
      </c>
      <c r="E36" s="7">
        <f t="shared" si="4"/>
        <v>554.9333333333334</v>
      </c>
      <c r="F36" s="7">
        <f t="shared" si="4"/>
        <v>555</v>
      </c>
      <c r="G36" s="7">
        <f t="shared" si="4"/>
        <v>541</v>
      </c>
      <c r="H36" s="7">
        <f t="shared" si="4"/>
        <v>535</v>
      </c>
      <c r="I36" s="7">
        <f t="shared" si="4"/>
        <v>483</v>
      </c>
      <c r="J36" s="7">
        <f t="shared" si="4"/>
        <v>494</v>
      </c>
      <c r="K36" s="7">
        <f t="shared" si="4"/>
        <v>514.1</v>
      </c>
      <c r="L36" s="7">
        <f t="shared" si="4"/>
        <v>502.8</v>
      </c>
      <c r="M36" s="7">
        <f t="shared" si="4"/>
        <v>512.6666666666666</v>
      </c>
      <c r="N36" s="7">
        <f t="shared" si="4"/>
        <v>519.8000000000001</v>
      </c>
      <c r="O36" s="8"/>
      <c r="P36" s="8"/>
      <c r="Q36" s="8"/>
      <c r="R36" s="8"/>
      <c r="S36" s="8"/>
    </row>
    <row r="37" spans="1:19" ht="12">
      <c r="A37" s="2"/>
      <c r="B37" s="3" t="s">
        <v>27</v>
      </c>
      <c r="C37" s="7">
        <f>618.2/1.5</f>
        <v>412.1333333333334</v>
      </c>
      <c r="D37" s="7">
        <f>610.4/1.5</f>
        <v>406.93333333333334</v>
      </c>
      <c r="E37" s="7">
        <f>6236/15</f>
        <v>415.73333333333335</v>
      </c>
      <c r="F37" s="7">
        <v>428</v>
      </c>
      <c r="G37" s="8">
        <v>418</v>
      </c>
      <c r="H37" s="8">
        <v>411</v>
      </c>
      <c r="I37" s="8">
        <v>374</v>
      </c>
      <c r="J37" s="8">
        <v>382</v>
      </c>
      <c r="K37" s="8">
        <v>393.7</v>
      </c>
      <c r="L37" s="8">
        <v>384.26666666666665</v>
      </c>
      <c r="M37" s="8">
        <v>389.06666666666666</v>
      </c>
      <c r="N37" s="8">
        <v>386.1333333333334</v>
      </c>
      <c r="O37" s="8"/>
      <c r="P37" s="8"/>
      <c r="Q37" s="8"/>
      <c r="R37" s="8"/>
      <c r="S37" s="8"/>
    </row>
    <row r="38" spans="1:19" ht="12">
      <c r="A38" s="2"/>
      <c r="B38" s="3" t="s">
        <v>28</v>
      </c>
      <c r="C38" s="7">
        <f>234.7/1.5</f>
        <v>156.46666666666667</v>
      </c>
      <c r="D38" s="7">
        <f>221.8/1.5</f>
        <v>147.86666666666667</v>
      </c>
      <c r="E38" s="7">
        <f>1983/15</f>
        <v>132.2</v>
      </c>
      <c r="F38" s="7">
        <v>120</v>
      </c>
      <c r="G38" s="8">
        <v>116</v>
      </c>
      <c r="H38" s="8">
        <v>116</v>
      </c>
      <c r="I38" s="8">
        <v>102</v>
      </c>
      <c r="J38" s="8">
        <v>104</v>
      </c>
      <c r="K38" s="8">
        <v>112.7</v>
      </c>
      <c r="L38" s="8">
        <v>111.6</v>
      </c>
      <c r="M38" s="8">
        <v>115.46666666666665</v>
      </c>
      <c r="N38" s="8">
        <v>121.8</v>
      </c>
      <c r="O38" s="8"/>
      <c r="P38" s="8"/>
      <c r="Q38" s="8"/>
      <c r="R38" s="8"/>
      <c r="S38" s="8"/>
    </row>
    <row r="39" spans="1:19" ht="12">
      <c r="A39" s="2"/>
      <c r="B39" s="3" t="s">
        <v>29</v>
      </c>
      <c r="C39" s="7">
        <f>13.2/1.5</f>
        <v>8.799999999999999</v>
      </c>
      <c r="D39" s="7">
        <f>11.9/1.5</f>
        <v>7.933333333333334</v>
      </c>
      <c r="E39" s="7">
        <f>105/15</f>
        <v>7</v>
      </c>
      <c r="F39" s="7">
        <v>7</v>
      </c>
      <c r="G39" s="8">
        <v>7</v>
      </c>
      <c r="H39" s="8">
        <v>8</v>
      </c>
      <c r="I39" s="8">
        <v>7</v>
      </c>
      <c r="J39" s="8">
        <v>8</v>
      </c>
      <c r="K39" s="8">
        <v>7.7</v>
      </c>
      <c r="L39" s="8">
        <v>6.933333333333334</v>
      </c>
      <c r="M39" s="8">
        <v>8.133333333333333</v>
      </c>
      <c r="N39" s="8">
        <v>11.866666666666667</v>
      </c>
      <c r="O39" s="8"/>
      <c r="P39" s="8"/>
      <c r="Q39" s="8"/>
      <c r="R39" s="8"/>
      <c r="S39" s="8"/>
    </row>
    <row r="40" spans="1:19" ht="12">
      <c r="A40" s="2"/>
      <c r="B40" s="2"/>
      <c r="C40" s="8"/>
      <c r="D40" s="8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</row>
    <row r="41" spans="1:19" ht="12">
      <c r="A41" s="3" t="s">
        <v>30</v>
      </c>
      <c r="B41" s="2"/>
      <c r="C41" s="7">
        <f aca="true" t="shared" si="5" ref="C41:K41">SUM(C42:C44)</f>
        <v>612.7333333333333</v>
      </c>
      <c r="D41" s="7">
        <f t="shared" si="5"/>
        <v>582.6666666666666</v>
      </c>
      <c r="E41" s="7">
        <f t="shared" si="5"/>
        <v>613.7333333333333</v>
      </c>
      <c r="F41" s="7">
        <f t="shared" si="5"/>
        <v>589</v>
      </c>
      <c r="G41" s="7">
        <f t="shared" si="5"/>
        <v>561</v>
      </c>
      <c r="H41" s="7">
        <f t="shared" si="5"/>
        <v>542</v>
      </c>
      <c r="I41" s="7">
        <f t="shared" si="5"/>
        <v>517</v>
      </c>
      <c r="J41" s="7">
        <f t="shared" si="5"/>
        <v>523</v>
      </c>
      <c r="K41" s="7">
        <f t="shared" si="5"/>
        <v>564</v>
      </c>
      <c r="L41" s="7">
        <f>SUM(L42:L45)</f>
        <v>593.1999999999999</v>
      </c>
      <c r="M41" s="7">
        <f>SUM(M42:M45)</f>
        <v>615.2666666666667</v>
      </c>
      <c r="N41" s="7">
        <f>SUM(N42:N45)</f>
        <v>627.4666666666667</v>
      </c>
      <c r="O41" s="8"/>
      <c r="P41" s="8"/>
      <c r="Q41" s="8"/>
      <c r="R41" s="8"/>
      <c r="S41" s="8"/>
    </row>
    <row r="42" spans="1:19" ht="12">
      <c r="A42" s="2"/>
      <c r="B42" s="3" t="s">
        <v>31</v>
      </c>
      <c r="C42" s="7">
        <f>66.9/1.5</f>
        <v>44.6</v>
      </c>
      <c r="D42" s="7">
        <f>68.8/1.5</f>
        <v>45.86666666666667</v>
      </c>
      <c r="E42" s="7">
        <f>645/15</f>
        <v>43</v>
      </c>
      <c r="F42" s="7">
        <v>42</v>
      </c>
      <c r="G42" s="8">
        <v>39</v>
      </c>
      <c r="H42" s="8">
        <v>40</v>
      </c>
      <c r="I42" s="8">
        <v>39</v>
      </c>
      <c r="J42" s="8">
        <v>42</v>
      </c>
      <c r="K42" s="8">
        <v>44.8</v>
      </c>
      <c r="L42" s="8">
        <v>37.733333333333334</v>
      </c>
      <c r="M42" s="8">
        <v>50.86666666666667</v>
      </c>
      <c r="N42" s="8">
        <v>57.13333333333333</v>
      </c>
      <c r="O42" s="8"/>
      <c r="P42" s="8"/>
      <c r="Q42" s="8"/>
      <c r="R42" s="8"/>
      <c r="S42" s="8"/>
    </row>
    <row r="43" spans="1:19" ht="12">
      <c r="A43" s="2"/>
      <c r="B43" s="3" t="s">
        <v>32</v>
      </c>
      <c r="C43" s="7">
        <f>848.9/1.5</f>
        <v>565.9333333333333</v>
      </c>
      <c r="D43" s="7">
        <f>802.8/1.5</f>
        <v>535.1999999999999</v>
      </c>
      <c r="E43" s="7">
        <f>8537/15</f>
        <v>569.1333333333333</v>
      </c>
      <c r="F43" s="7">
        <v>546</v>
      </c>
      <c r="G43" s="8">
        <v>521</v>
      </c>
      <c r="H43" s="8">
        <v>500</v>
      </c>
      <c r="I43" s="8">
        <v>476</v>
      </c>
      <c r="J43" s="8">
        <v>478</v>
      </c>
      <c r="K43" s="8">
        <v>504.7</v>
      </c>
      <c r="L43" s="8">
        <v>530.8666666666667</v>
      </c>
      <c r="M43" s="8">
        <v>533.3333333333334</v>
      </c>
      <c r="N43" s="8">
        <v>536.8666666666667</v>
      </c>
      <c r="O43" s="8"/>
      <c r="P43" s="8"/>
      <c r="Q43" s="8"/>
      <c r="R43" s="8"/>
      <c r="S43" s="8"/>
    </row>
    <row r="44" spans="1:19" ht="12">
      <c r="A44" s="2"/>
      <c r="B44" s="3" t="s">
        <v>33</v>
      </c>
      <c r="C44" s="7">
        <f>3.3/1.5</f>
        <v>2.1999999999999997</v>
      </c>
      <c r="D44" s="7">
        <f>2.4/1.5</f>
        <v>1.5999999999999999</v>
      </c>
      <c r="E44" s="7">
        <f>24/15</f>
        <v>1.6</v>
      </c>
      <c r="F44" s="7">
        <v>1</v>
      </c>
      <c r="G44" s="8">
        <v>1</v>
      </c>
      <c r="H44" s="8">
        <v>2</v>
      </c>
      <c r="I44" s="8">
        <v>2</v>
      </c>
      <c r="J44" s="8">
        <v>3</v>
      </c>
      <c r="K44" s="8">
        <v>14.5</v>
      </c>
      <c r="L44" s="8">
        <v>13.666666666666668</v>
      </c>
      <c r="M44" s="8">
        <v>18.8</v>
      </c>
      <c r="N44" s="8">
        <v>19.466666666666665</v>
      </c>
      <c r="O44" s="8"/>
      <c r="P44" s="8"/>
      <c r="Q44" s="8"/>
      <c r="R44" s="8"/>
      <c r="S44" s="8"/>
    </row>
    <row r="45" spans="2:19" ht="12">
      <c r="B45" s="3" t="s">
        <v>34</v>
      </c>
      <c r="C45" s="9" t="s">
        <v>35</v>
      </c>
      <c r="D45" s="9" t="s">
        <v>35</v>
      </c>
      <c r="E45" s="9" t="s">
        <v>35</v>
      </c>
      <c r="F45" s="9" t="s">
        <v>35</v>
      </c>
      <c r="G45" s="9" t="s">
        <v>35</v>
      </c>
      <c r="H45" s="9" t="s">
        <v>35</v>
      </c>
      <c r="I45" s="9" t="s">
        <v>35</v>
      </c>
      <c r="J45" s="9" t="s">
        <v>35</v>
      </c>
      <c r="K45" s="9" t="s">
        <v>35</v>
      </c>
      <c r="L45" s="8">
        <v>10.933333333333334</v>
      </c>
      <c r="M45" s="8">
        <v>12.266666666666666</v>
      </c>
      <c r="N45" s="8">
        <v>14</v>
      </c>
      <c r="O45" s="8"/>
      <c r="P45" s="8"/>
      <c r="Q45" s="8"/>
      <c r="R45" s="8"/>
      <c r="S45" s="8"/>
    </row>
    <row r="46" spans="1:19" ht="12">
      <c r="A46" s="2"/>
      <c r="B46" s="2"/>
      <c r="C46" s="8"/>
      <c r="D46" s="8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</row>
    <row r="47" spans="1:19" ht="12">
      <c r="A47" s="3" t="s">
        <v>36</v>
      </c>
      <c r="B47" s="2"/>
      <c r="C47" s="7">
        <f aca="true" t="shared" si="6" ref="C47:N47">SUM(C48:C51)</f>
        <v>3397.2666666666664</v>
      </c>
      <c r="D47" s="7">
        <f t="shared" si="6"/>
        <v>3430.733333333333</v>
      </c>
      <c r="E47" s="7">
        <f t="shared" si="6"/>
        <v>3560.4</v>
      </c>
      <c r="F47" s="7">
        <f t="shared" si="6"/>
        <v>3484</v>
      </c>
      <c r="G47" s="7">
        <f t="shared" si="6"/>
        <v>3409</v>
      </c>
      <c r="H47" s="7">
        <f t="shared" si="6"/>
        <v>3294</v>
      </c>
      <c r="I47" s="7">
        <f t="shared" si="6"/>
        <v>3097</v>
      </c>
      <c r="J47" s="7">
        <f t="shared" si="6"/>
        <v>3175</v>
      </c>
      <c r="K47" s="7">
        <f t="shared" si="6"/>
        <v>3217.0000000000005</v>
      </c>
      <c r="L47" s="7">
        <f t="shared" si="6"/>
        <v>3195.666666666667</v>
      </c>
      <c r="M47" s="7">
        <f t="shared" si="6"/>
        <v>3242.9333333333334</v>
      </c>
      <c r="N47" s="7">
        <f t="shared" si="6"/>
        <v>3304.333333333334</v>
      </c>
      <c r="O47" s="8"/>
      <c r="P47" s="8"/>
      <c r="Q47" s="8"/>
      <c r="R47" s="8"/>
      <c r="S47" s="8"/>
    </row>
    <row r="48" spans="1:19" ht="12">
      <c r="A48" s="2"/>
      <c r="B48" s="3" t="s">
        <v>37</v>
      </c>
      <c r="C48" s="7">
        <f>2469.2/1.5</f>
        <v>1646.1333333333332</v>
      </c>
      <c r="D48" s="7">
        <f>2401/1.5</f>
        <v>1600.6666666666667</v>
      </c>
      <c r="E48" s="7">
        <f>26846/15</f>
        <v>1789.7333333333333</v>
      </c>
      <c r="F48" s="7">
        <v>1767</v>
      </c>
      <c r="G48" s="8">
        <v>1716</v>
      </c>
      <c r="H48" s="8">
        <v>1667</v>
      </c>
      <c r="I48" s="8">
        <v>1583</v>
      </c>
      <c r="J48" s="8">
        <v>1618</v>
      </c>
      <c r="K48" s="8">
        <v>1649.5</v>
      </c>
      <c r="L48" s="8">
        <v>1653.8666666666668</v>
      </c>
      <c r="M48" s="8">
        <v>1662.7333333333333</v>
      </c>
      <c r="N48" s="8">
        <v>1711.5333333333335</v>
      </c>
      <c r="O48" s="8"/>
      <c r="P48" s="8"/>
      <c r="Q48" s="8"/>
      <c r="R48" s="8"/>
      <c r="S48" s="8"/>
    </row>
    <row r="49" spans="1:19" ht="12">
      <c r="A49" s="2"/>
      <c r="B49" s="3" t="s">
        <v>38</v>
      </c>
      <c r="C49" s="7">
        <f>1037.2/1.5</f>
        <v>691.4666666666667</v>
      </c>
      <c r="D49" s="7">
        <f>1076.6/1.5</f>
        <v>717.7333333333332</v>
      </c>
      <c r="E49" s="7">
        <f>10242/15</f>
        <v>682.8</v>
      </c>
      <c r="F49" s="7">
        <v>667</v>
      </c>
      <c r="G49" s="8">
        <v>672</v>
      </c>
      <c r="H49" s="8">
        <v>650</v>
      </c>
      <c r="I49" s="8">
        <v>592</v>
      </c>
      <c r="J49" s="8">
        <v>618</v>
      </c>
      <c r="K49" s="8">
        <v>611.3</v>
      </c>
      <c r="L49" s="8">
        <v>594.6666666666667</v>
      </c>
      <c r="M49" s="8">
        <v>598.6666666666666</v>
      </c>
      <c r="N49" s="8">
        <v>600.0666666666667</v>
      </c>
      <c r="O49" s="8"/>
      <c r="P49" s="8"/>
      <c r="Q49" s="8"/>
      <c r="R49" s="8"/>
      <c r="S49" s="8"/>
    </row>
    <row r="50" spans="1:19" ht="12">
      <c r="A50" s="2"/>
      <c r="B50" s="3" t="s">
        <v>39</v>
      </c>
      <c r="C50" s="7">
        <f>1589.5/1.5</f>
        <v>1059.6666666666667</v>
      </c>
      <c r="D50" s="7">
        <f>1666.2/1.5</f>
        <v>1110.8</v>
      </c>
      <c r="E50" s="7">
        <f>16299/15</f>
        <v>1086.6</v>
      </c>
      <c r="F50" s="7">
        <v>1048</v>
      </c>
      <c r="G50" s="8">
        <v>1019</v>
      </c>
      <c r="H50" s="8">
        <v>975</v>
      </c>
      <c r="I50" s="8">
        <v>920</v>
      </c>
      <c r="J50" s="8">
        <v>937</v>
      </c>
      <c r="K50" s="8">
        <v>952.9</v>
      </c>
      <c r="L50" s="8">
        <v>945.0666666666666</v>
      </c>
      <c r="M50" s="8">
        <v>979.0666666666666</v>
      </c>
      <c r="N50" s="8">
        <v>989.8666666666667</v>
      </c>
      <c r="O50" s="8"/>
      <c r="P50" s="8"/>
      <c r="Q50" s="8"/>
      <c r="R50" s="8"/>
      <c r="S50" s="8"/>
    </row>
    <row r="51" spans="1:19" ht="12">
      <c r="A51" s="2"/>
      <c r="B51" s="3" t="s">
        <v>40</v>
      </c>
      <c r="C51" s="7">
        <v>0</v>
      </c>
      <c r="D51" s="7">
        <f>2.3/1.5</f>
        <v>1.5333333333333332</v>
      </c>
      <c r="E51" s="7">
        <f>19/15</f>
        <v>1.2666666666666666</v>
      </c>
      <c r="F51" s="7">
        <v>2</v>
      </c>
      <c r="G51" s="8">
        <v>2</v>
      </c>
      <c r="H51" s="8">
        <v>2</v>
      </c>
      <c r="I51" s="8">
        <v>2</v>
      </c>
      <c r="J51" s="8">
        <v>2</v>
      </c>
      <c r="K51" s="8">
        <v>3.3</v>
      </c>
      <c r="L51" s="8">
        <v>2.066666666666667</v>
      </c>
      <c r="M51" s="8">
        <v>2.466666666666667</v>
      </c>
      <c r="N51" s="8">
        <v>2.8666666666666667</v>
      </c>
      <c r="O51" s="8"/>
      <c r="P51" s="8"/>
      <c r="Q51" s="8"/>
      <c r="R51" s="8"/>
      <c r="S51" s="8"/>
    </row>
    <row r="52" spans="1:19" ht="12">
      <c r="A52" s="2"/>
      <c r="B52" s="2"/>
      <c r="C52" s="8"/>
      <c r="D52" s="8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</row>
    <row r="53" spans="1:19" ht="12">
      <c r="A53" s="1" t="s">
        <v>41</v>
      </c>
      <c r="B53" s="2"/>
      <c r="C53" s="7">
        <f aca="true" t="shared" si="7" ref="C53:N53">SUM(C9,C14,C22,C30,C36,C41,C47)</f>
        <v>20132.93333333333</v>
      </c>
      <c r="D53" s="7">
        <f t="shared" si="7"/>
        <v>20087.4</v>
      </c>
      <c r="E53" s="7">
        <f t="shared" si="7"/>
        <v>19424.933333333334</v>
      </c>
      <c r="F53" s="7">
        <f t="shared" si="7"/>
        <v>18508</v>
      </c>
      <c r="G53" s="7">
        <f t="shared" si="7"/>
        <v>36827</v>
      </c>
      <c r="H53" s="7">
        <f t="shared" si="7"/>
        <v>18537</v>
      </c>
      <c r="I53" s="7">
        <f t="shared" si="7"/>
        <v>17694</v>
      </c>
      <c r="J53" s="7">
        <f t="shared" si="7"/>
        <v>19122</v>
      </c>
      <c r="K53" s="7">
        <f t="shared" si="7"/>
        <v>20211.5</v>
      </c>
      <c r="L53" s="7">
        <f t="shared" si="7"/>
        <v>19691.933333333334</v>
      </c>
      <c r="M53" s="7">
        <f t="shared" si="7"/>
        <v>20353.266666666666</v>
      </c>
      <c r="N53" s="7">
        <f t="shared" si="7"/>
        <v>21401.466666666667</v>
      </c>
      <c r="O53" s="8"/>
      <c r="P53" s="8"/>
      <c r="Q53" s="8"/>
      <c r="R53" s="8"/>
      <c r="S53" s="8"/>
    </row>
    <row r="54" spans="1:19" ht="12">
      <c r="A54" s="1" t="s">
        <v>42</v>
      </c>
      <c r="B54" s="2"/>
      <c r="C54" s="7">
        <v>20132.666666666668</v>
      </c>
      <c r="D54" s="7">
        <v>20353</v>
      </c>
      <c r="E54" s="7">
        <v>19424.933333333334</v>
      </c>
      <c r="F54" s="7">
        <v>18543</v>
      </c>
      <c r="G54" s="8">
        <v>18824</v>
      </c>
      <c r="H54" s="8">
        <v>18537</v>
      </c>
      <c r="I54" s="8">
        <v>17694</v>
      </c>
      <c r="J54" s="8">
        <v>19124</v>
      </c>
      <c r="K54" s="8">
        <v>20211.666666666668</v>
      </c>
      <c r="L54" s="8">
        <v>19691.8</v>
      </c>
      <c r="M54" s="8">
        <v>20353.266666666666</v>
      </c>
      <c r="N54" s="8">
        <f>321022/15</f>
        <v>21401.466666666667</v>
      </c>
      <c r="O54" s="8"/>
      <c r="P54" s="8"/>
      <c r="Q54" s="8"/>
      <c r="R54" s="8"/>
      <c r="S54" s="8"/>
    </row>
    <row r="55" spans="3:19" ht="12"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</row>
    <row r="56" spans="3:19" ht="12"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</row>
    <row r="57" spans="1:19" ht="12">
      <c r="A57" s="3" t="s">
        <v>43</v>
      </c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</row>
    <row r="58" spans="3:19" ht="12"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</row>
    <row r="59" spans="1:19" ht="12">
      <c r="A59" s="3" t="s">
        <v>44</v>
      </c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</row>
    <row r="60" spans="1:19" ht="12">
      <c r="A60" s="3" t="s">
        <v>45</v>
      </c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</row>
    <row r="61" spans="3:19" ht="12"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</row>
    <row r="62" spans="3:19" ht="12"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</row>
    <row r="63" spans="3:19" ht="12"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</row>
    <row r="64" spans="3:19" ht="12"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</row>
    <row r="65" spans="3:19" ht="12"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</row>
    <row r="66" spans="3:19" ht="12"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</row>
    <row r="67" spans="3:19" ht="12"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</row>
    <row r="68" spans="13:14" ht="12">
      <c r="M68" s="10"/>
      <c r="N68" s="10"/>
    </row>
    <row r="69" spans="13:14" ht="12">
      <c r="M69" s="10"/>
      <c r="N69" s="10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RRojas Research Unit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Róbinson Rojas</dc:creator>
  <cp:keywords/>
  <dc:description/>
  <cp:lastModifiedBy>Dr. Róbinson Rojas</cp:lastModifiedBy>
  <dcterms:created xsi:type="dcterms:W3CDTF">2006-11-01T19:21:54Z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