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450" windowWidth="7500" windowHeight="5010" activeTab="0"/>
  </bookViews>
  <sheets>
    <sheet name="TBL_30" sheetId="1" r:id="rId1"/>
  </sheets>
  <definedNames>
    <definedName name="_Regression_Int" localSheetId="0" hidden="1">1</definedName>
    <definedName name="NOTE">#REF!</definedName>
    <definedName name="NOTES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<sst xmlns="http://schemas.openxmlformats.org/spreadsheetml/2006/main" count="112" uniqueCount="39">
  <si>
    <t>Table 30--Coarse grain area and production, China, 1952-90</t>
  </si>
  <si>
    <t xml:space="preserve">     Area</t>
  </si>
  <si>
    <t xml:space="preserve">        Production</t>
  </si>
  <si>
    <t>-</t>
  </si>
  <si>
    <t>Year</t>
  </si>
  <si>
    <t>Total—u1</t>
  </si>
  <si>
    <t>Corn</t>
  </si>
  <si>
    <t>Sorghum</t>
  </si>
  <si>
    <t>Millet</t>
  </si>
  <si>
    <t>Other—u2</t>
  </si>
  <si>
    <t>Corn—u3</t>
  </si>
  <si>
    <t xml:space="preserve">   ----------1,000 hectares---------------</t>
  </si>
  <si>
    <t xml:space="preserve">    -----------1,000 tons-----------------</t>
  </si>
  <si>
    <t>na</t>
  </si>
  <si>
    <t xml:space="preserve">    —u1˜ Total is the sum of the four columns:  corn, sorghum, millet and other.</t>
  </si>
  <si>
    <t xml:space="preserve">    —u2˜ It is unclear exactly which grains make up "other," though it probably includes barley, oats, buckwheat, proso-millet, meng</t>
  </si>
  <si>
    <t>beans, broad beans, ormosia beans and an unknown number of other minor grains.</t>
  </si>
  <si>
    <t xml:space="preserve">    —u3˜ Corn production is reported on an unshelled basis.</t>
  </si>
  <si>
    <t xml:space="preserve">    —u1˜ Reported on a shelled basis (off the cob and dried to between 14 and 18 percent water content depending on the province).</t>
  </si>
  <si>
    <t xml:space="preserve">    Sources:  (28, pp. 138, 141), (30, p. 179), (31, p. 169), (32, p. 247), (33, p. 197), (56, pp. 154-9, 162-3) and (35, p. 345).</t>
  </si>
  <si>
    <t>TjNj'84</t>
  </si>
  <si>
    <t>NcJjDq</t>
  </si>
  <si>
    <t>p. 138</t>
  </si>
  <si>
    <t>pp. 154-5</t>
  </si>
  <si>
    <t>pp. 156-7</t>
  </si>
  <si>
    <t>pp. 158-9</t>
  </si>
  <si>
    <t>p. 141</t>
  </si>
  <si>
    <t>p.156-7</t>
  </si>
  <si>
    <t>p.158-9</t>
  </si>
  <si>
    <t>p. 162-3</t>
  </si>
  <si>
    <t>TjNj'86 p. 179</t>
  </si>
  <si>
    <t>TjNj'87 p. 169</t>
  </si>
  <si>
    <t>***  see</t>
  </si>
  <si>
    <t>NcJjDq, p. 163</t>
  </si>
  <si>
    <t>TjNj'88 p. 247</t>
  </si>
  <si>
    <t>for the minor grains incl</t>
  </si>
  <si>
    <t>TjNj'89 p. 197</t>
  </si>
  <si>
    <t>in category of "other"</t>
  </si>
  <si>
    <t>TjNj'91 p. 345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</si>
</sst>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fill"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75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5.625" style="0" customWidth="1"/>
    <col min="7" max="7" width="2.625" style="0" customWidth="1"/>
    <col min="242" max="242" width="1.625" style="0" customWidth="1"/>
  </cols>
  <sheetData>
    <row r="1" ht="12">
      <c r="A1" s="1" t="s">
        <v>0</v>
      </c>
    </row>
    <row r="3" spans="4:9" ht="12">
      <c r="D3" s="1" t="s">
        <v>1</v>
      </c>
      <c r="I3" s="1" t="s">
        <v>2</v>
      </c>
    </row>
    <row r="4" spans="2:12" ht="12">
      <c r="B4" s="2" t="s">
        <v>3</v>
      </c>
      <c r="C4" s="2" t="s">
        <v>3</v>
      </c>
      <c r="D4" s="2" t="s">
        <v>3</v>
      </c>
      <c r="E4" s="2" t="s">
        <v>3</v>
      </c>
      <c r="F4" s="2" t="s">
        <v>3</v>
      </c>
      <c r="H4" s="2" t="s">
        <v>3</v>
      </c>
      <c r="I4" s="2" t="s">
        <v>3</v>
      </c>
      <c r="J4" s="2" t="s">
        <v>3</v>
      </c>
      <c r="K4" s="2" t="s">
        <v>3</v>
      </c>
      <c r="L4" s="2" t="s">
        <v>3</v>
      </c>
    </row>
    <row r="5" spans="1:12" ht="12">
      <c r="A5" s="1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H5" s="4" t="s">
        <v>5</v>
      </c>
      <c r="I5" s="4" t="s">
        <v>10</v>
      </c>
      <c r="J5" s="4" t="s">
        <v>7</v>
      </c>
      <c r="K5" s="4" t="s">
        <v>8</v>
      </c>
      <c r="L5" s="4" t="s">
        <v>9</v>
      </c>
    </row>
    <row r="8" spans="2:10" ht="12">
      <c r="B8" s="1" t="s">
        <v>11</v>
      </c>
      <c r="H8" s="1" t="s">
        <v>12</v>
      </c>
      <c r="J8" s="5"/>
    </row>
    <row r="10" spans="1:12" ht="12">
      <c r="A10" s="6">
        <v>1952</v>
      </c>
      <c r="B10" s="7">
        <f>SUM(C10:F10)</f>
        <v>50450</v>
      </c>
      <c r="C10" s="7">
        <f>188490/15</f>
        <v>12566</v>
      </c>
      <c r="D10" s="7">
        <f>140790/15</f>
        <v>9386</v>
      </c>
      <c r="E10" s="7">
        <f>147520/15</f>
        <v>9834.666666666666</v>
      </c>
      <c r="F10" s="7">
        <f>279950/15</f>
        <v>18663.333333333332</v>
      </c>
      <c r="H10" s="8">
        <f>SUM(I10:L10)</f>
        <v>51550</v>
      </c>
      <c r="I10" s="8">
        <v>16850</v>
      </c>
      <c r="J10" s="8">
        <v>11100</v>
      </c>
      <c r="K10" s="8">
        <v>11550</v>
      </c>
      <c r="L10" s="8">
        <v>12050</v>
      </c>
    </row>
    <row r="11" spans="1:12" ht="12">
      <c r="A11" s="6">
        <v>1953</v>
      </c>
      <c r="B11" s="7">
        <f>SUM(C11:F11)</f>
        <v>51302</v>
      </c>
      <c r="C11" s="7">
        <f>197010/15</f>
        <v>13134</v>
      </c>
      <c r="D11" s="7">
        <f>143380/15</f>
        <v>9558.666666666666</v>
      </c>
      <c r="E11" s="7">
        <f>147990/15</f>
        <v>9866</v>
      </c>
      <c r="F11" s="7">
        <f>281150/15</f>
        <v>18743.333333333332</v>
      </c>
      <c r="H11" s="8">
        <f>SUM(I11:L11)</f>
        <v>50690</v>
      </c>
      <c r="I11" s="8">
        <v>16690</v>
      </c>
      <c r="J11" s="8">
        <v>11200</v>
      </c>
      <c r="K11" s="8">
        <v>10300</v>
      </c>
      <c r="L11" s="8">
        <v>12500</v>
      </c>
    </row>
    <row r="12" spans="1:12" ht="12">
      <c r="A12" s="6">
        <v>1954</v>
      </c>
      <c r="B12" s="7">
        <f>SUM(C12:F12)</f>
        <v>50870.66666666667</v>
      </c>
      <c r="C12" s="7">
        <f>197560/15</f>
        <v>13170.666666666666</v>
      </c>
      <c r="D12" s="7">
        <f>129690/15</f>
        <v>8646</v>
      </c>
      <c r="E12" s="7">
        <f>135050/15</f>
        <v>9003.333333333334</v>
      </c>
      <c r="F12" s="7">
        <f>300760/15</f>
        <v>20050.666666666668</v>
      </c>
      <c r="H12" s="8">
        <f>SUM(I12:L12)</f>
        <v>49290</v>
      </c>
      <c r="I12" s="8">
        <v>17140</v>
      </c>
      <c r="J12" s="8">
        <v>9000</v>
      </c>
      <c r="K12" s="8">
        <v>9250</v>
      </c>
      <c r="L12" s="8">
        <v>13900</v>
      </c>
    </row>
    <row r="13" spans="2:12" ht="12">
      <c r="B13" s="7"/>
      <c r="C13" s="7"/>
      <c r="D13" s="7"/>
      <c r="E13" s="7"/>
      <c r="F13" s="7"/>
      <c r="H13" s="7"/>
      <c r="I13" s="7"/>
      <c r="J13" s="7"/>
      <c r="K13" s="7"/>
      <c r="L13" s="7"/>
    </row>
    <row r="14" spans="1:12" ht="12">
      <c r="A14" s="6">
        <v>1955</v>
      </c>
      <c r="B14" s="7">
        <f>SUM(C14:F14)</f>
        <v>52431.33333333333</v>
      </c>
      <c r="C14" s="7">
        <f>219580/15</f>
        <v>14638.666666666666</v>
      </c>
      <c r="D14" s="7">
        <f>120900/15</f>
        <v>8060</v>
      </c>
      <c r="E14" s="7">
        <f>133930/15</f>
        <v>8928.666666666666</v>
      </c>
      <c r="F14" s="7">
        <f>312060/15</f>
        <v>20804</v>
      </c>
      <c r="H14" s="8">
        <f>SUM(I14:L14)</f>
        <v>54920</v>
      </c>
      <c r="I14" s="8">
        <v>20320</v>
      </c>
      <c r="J14" s="8">
        <v>10250</v>
      </c>
      <c r="K14" s="8">
        <v>10050</v>
      </c>
      <c r="L14" s="8">
        <v>14300</v>
      </c>
    </row>
    <row r="15" spans="1:12" ht="12">
      <c r="A15" s="6">
        <v>1956</v>
      </c>
      <c r="B15" s="7">
        <f>SUM(C15:F15)</f>
        <v>52717.33333333333</v>
      </c>
      <c r="C15" s="7">
        <f>264930/15</f>
        <v>17662</v>
      </c>
      <c r="D15" s="7">
        <f>91010/15</f>
        <v>6067.333333333333</v>
      </c>
      <c r="E15" s="7">
        <f>129270/15</f>
        <v>8618</v>
      </c>
      <c r="F15" s="7">
        <f>305550/15</f>
        <v>20370</v>
      </c>
      <c r="H15" s="8">
        <f>SUM(I15:L15)</f>
        <v>53350</v>
      </c>
      <c r="I15" s="8">
        <v>23050</v>
      </c>
      <c r="J15" s="8">
        <v>6550</v>
      </c>
      <c r="K15" s="8">
        <v>8550</v>
      </c>
      <c r="L15" s="8">
        <v>15200</v>
      </c>
    </row>
    <row r="16" spans="1:12" ht="12">
      <c r="A16" s="6">
        <v>1957</v>
      </c>
      <c r="B16" s="7">
        <f>SUM(C16:F16)</f>
        <v>50607.33333333333</v>
      </c>
      <c r="C16" s="7">
        <f>224150/15</f>
        <v>14943.333333333334</v>
      </c>
      <c r="D16" s="7">
        <f>99510/15</f>
        <v>6634</v>
      </c>
      <c r="E16" s="7">
        <f>125650/15</f>
        <v>8376.666666666666</v>
      </c>
      <c r="F16" s="7">
        <f>309800/15</f>
        <v>20653.333333333332</v>
      </c>
      <c r="H16" s="8">
        <f>SUM(I16:L16)</f>
        <v>52690</v>
      </c>
      <c r="I16" s="8">
        <v>21440</v>
      </c>
      <c r="J16" s="8">
        <v>7650</v>
      </c>
      <c r="K16" s="8">
        <v>8550</v>
      </c>
      <c r="L16" s="8">
        <v>15050</v>
      </c>
    </row>
    <row r="17" spans="1:12" ht="12">
      <c r="A17" s="6">
        <v>1958</v>
      </c>
      <c r="B17" s="7">
        <f>SUM(C17:F17)</f>
        <v>44990</v>
      </c>
      <c r="C17" s="7">
        <f>243160/15</f>
        <v>16210.666666666666</v>
      </c>
      <c r="D17" s="7">
        <f>59760/15</f>
        <v>3984</v>
      </c>
      <c r="E17" s="7">
        <f>103450/15</f>
        <v>6896.666666666667</v>
      </c>
      <c r="F17" s="7">
        <f>268480/15</f>
        <v>17898.666666666668</v>
      </c>
      <c r="H17" s="9" t="s">
        <v>13</v>
      </c>
      <c r="I17" s="9" t="s">
        <v>13</v>
      </c>
      <c r="J17" s="9" t="s">
        <v>13</v>
      </c>
      <c r="K17" s="9" t="s">
        <v>13</v>
      </c>
      <c r="L17" s="9" t="s">
        <v>13</v>
      </c>
    </row>
    <row r="18" spans="1:12" ht="12">
      <c r="A18" s="6">
        <v>1959</v>
      </c>
      <c r="B18" s="7">
        <f>SUM(C18:F18)</f>
        <v>41262</v>
      </c>
      <c r="C18" s="7">
        <f>195030/15</f>
        <v>13002</v>
      </c>
      <c r="D18" s="7">
        <f>71160/15</f>
        <v>4744</v>
      </c>
      <c r="E18" s="7">
        <f>103680/15</f>
        <v>6912</v>
      </c>
      <c r="F18" s="7">
        <f>249060/15</f>
        <v>16604</v>
      </c>
      <c r="H18" s="9" t="s">
        <v>13</v>
      </c>
      <c r="I18" s="9" t="s">
        <v>13</v>
      </c>
      <c r="J18" s="9" t="s">
        <v>13</v>
      </c>
      <c r="K18" s="9" t="s">
        <v>13</v>
      </c>
      <c r="L18" s="9" t="s">
        <v>13</v>
      </c>
    </row>
    <row r="19" spans="2:12" ht="12">
      <c r="B19" s="7"/>
      <c r="C19" s="7"/>
      <c r="D19" s="7"/>
      <c r="E19" s="7"/>
      <c r="F19" s="7"/>
      <c r="H19" s="7"/>
      <c r="I19" s="7"/>
      <c r="J19" s="7"/>
      <c r="K19" s="7"/>
      <c r="L19" s="7"/>
    </row>
    <row r="20" spans="1:12" ht="12">
      <c r="A20" s="6">
        <v>1960</v>
      </c>
      <c r="B20" s="7">
        <f>SUM(C20:F20)</f>
        <v>42648.66666666667</v>
      </c>
      <c r="C20" s="7">
        <f>211350/15</f>
        <v>14090</v>
      </c>
      <c r="D20" s="7">
        <f>59190/15</f>
        <v>3946</v>
      </c>
      <c r="E20" s="7">
        <f>85560/15</f>
        <v>5704</v>
      </c>
      <c r="F20" s="7">
        <f>283630/15</f>
        <v>18908.666666666668</v>
      </c>
      <c r="H20" s="9" t="s">
        <v>13</v>
      </c>
      <c r="I20" s="9" t="s">
        <v>13</v>
      </c>
      <c r="J20" s="9" t="s">
        <v>13</v>
      </c>
      <c r="K20" s="9" t="s">
        <v>13</v>
      </c>
      <c r="L20" s="9" t="s">
        <v>13</v>
      </c>
    </row>
    <row r="21" spans="1:12" ht="12">
      <c r="A21" s="6">
        <v>1961</v>
      </c>
      <c r="B21" s="7">
        <f>SUM(C21:F21)</f>
        <v>46686</v>
      </c>
      <c r="C21" s="7">
        <f>204030/15</f>
        <v>13602</v>
      </c>
      <c r="D21" s="7">
        <f>83510/15</f>
        <v>5567.333333333333</v>
      </c>
      <c r="E21" s="7">
        <f>94400/15</f>
        <v>6293.333333333333</v>
      </c>
      <c r="F21" s="7">
        <f>318350/15</f>
        <v>21223.333333333332</v>
      </c>
      <c r="H21" s="8">
        <f>SUM(I21:L21)</f>
        <v>43050</v>
      </c>
      <c r="I21" s="8">
        <v>15500</v>
      </c>
      <c r="J21" s="8">
        <v>5750</v>
      </c>
      <c r="K21" s="8">
        <v>5250</v>
      </c>
      <c r="L21" s="8">
        <v>16550</v>
      </c>
    </row>
    <row r="22" spans="1:12" ht="12">
      <c r="A22" s="6">
        <v>1962</v>
      </c>
      <c r="B22" s="7">
        <f>SUM(C22:F22)</f>
        <v>48936</v>
      </c>
      <c r="C22" s="7">
        <f>192260/15</f>
        <v>12817.333333333334</v>
      </c>
      <c r="D22" s="7">
        <f>94910/15</f>
        <v>6327.333333333333</v>
      </c>
      <c r="E22" s="7">
        <f>96440/15</f>
        <v>6429.333333333333</v>
      </c>
      <c r="F22" s="7">
        <f>350430/15</f>
        <v>23362</v>
      </c>
      <c r="H22" s="8">
        <f>SUM(I22:L22)</f>
        <v>46750</v>
      </c>
      <c r="I22" s="8">
        <v>16250</v>
      </c>
      <c r="J22" s="8">
        <v>6100</v>
      </c>
      <c r="K22" s="8">
        <v>5300</v>
      </c>
      <c r="L22" s="8">
        <v>19100</v>
      </c>
    </row>
    <row r="23" spans="1:12" ht="12">
      <c r="A23" s="6">
        <v>1963</v>
      </c>
      <c r="B23" s="7">
        <f>SUM(C23:F23)</f>
        <v>47721.33333333333</v>
      </c>
      <c r="C23" s="7">
        <f>230640/15</f>
        <v>15376</v>
      </c>
      <c r="D23" s="7">
        <f>100740/15</f>
        <v>6716</v>
      </c>
      <c r="E23" s="7">
        <f>105630/15</f>
        <v>7042</v>
      </c>
      <c r="F23" s="7">
        <f>278810/15</f>
        <v>18587.333333333332</v>
      </c>
      <c r="H23" s="8">
        <f>SUM(I23:L23)</f>
        <v>45180</v>
      </c>
      <c r="I23" s="8">
        <v>20580</v>
      </c>
      <c r="J23" s="8">
        <v>6850</v>
      </c>
      <c r="K23" s="8">
        <v>6000</v>
      </c>
      <c r="L23" s="8">
        <v>11750</v>
      </c>
    </row>
    <row r="24" spans="1:12" ht="12">
      <c r="A24" s="6">
        <v>1964</v>
      </c>
      <c r="B24" s="7">
        <f>SUM(C24:F24)</f>
        <v>45823.333333333336</v>
      </c>
      <c r="C24" s="7">
        <f>230450/15</f>
        <v>15363.333333333334</v>
      </c>
      <c r="D24" s="7">
        <f>93780/15</f>
        <v>6252</v>
      </c>
      <c r="E24" s="7">
        <f>100660/15</f>
        <v>6710.666666666667</v>
      </c>
      <c r="F24" s="7">
        <f>262460/15</f>
        <v>17497.333333333332</v>
      </c>
      <c r="H24" s="8">
        <f>SUM(I24:L24)</f>
        <v>49040</v>
      </c>
      <c r="I24" s="8">
        <v>22690</v>
      </c>
      <c r="J24" s="8">
        <v>6700</v>
      </c>
      <c r="K24" s="8">
        <v>6850</v>
      </c>
      <c r="L24" s="8">
        <v>12800</v>
      </c>
    </row>
    <row r="25" spans="2:12" ht="12">
      <c r="B25" s="7"/>
      <c r="C25" s="7"/>
      <c r="D25" s="7"/>
      <c r="E25" s="7"/>
      <c r="F25" s="7"/>
      <c r="H25" s="7"/>
      <c r="I25" s="7"/>
      <c r="J25" s="7"/>
      <c r="K25" s="7"/>
      <c r="L25" s="7"/>
    </row>
    <row r="26" spans="1:12" ht="12">
      <c r="A26" s="6">
        <v>1965</v>
      </c>
      <c r="B26" s="7">
        <f>SUM(C26:F26)</f>
        <v>45325.33333333333</v>
      </c>
      <c r="C26" s="7">
        <f>235060/15</f>
        <v>15670.666666666666</v>
      </c>
      <c r="D26" s="7">
        <f>92250/15</f>
        <v>6150</v>
      </c>
      <c r="E26" s="7">
        <f>98430/15</f>
        <v>6562</v>
      </c>
      <c r="F26" s="7">
        <f>254140/15</f>
        <v>16942.666666666668</v>
      </c>
      <c r="H26" s="8">
        <f>SUM(I26:L26)</f>
        <v>55560</v>
      </c>
      <c r="I26" s="8">
        <v>23660</v>
      </c>
      <c r="J26" s="8">
        <v>7100</v>
      </c>
      <c r="K26" s="7">
        <v>6200</v>
      </c>
      <c r="L26" s="7">
        <v>18600</v>
      </c>
    </row>
    <row r="27" spans="1:12" ht="12">
      <c r="A27" s="6">
        <v>1966</v>
      </c>
      <c r="B27" s="10" t="s">
        <v>13</v>
      </c>
      <c r="C27" s="10" t="s">
        <v>13</v>
      </c>
      <c r="D27" s="10" t="s">
        <v>13</v>
      </c>
      <c r="E27" s="10" t="s">
        <v>13</v>
      </c>
      <c r="F27" s="10" t="s">
        <v>13</v>
      </c>
      <c r="H27" s="9" t="s">
        <v>13</v>
      </c>
      <c r="I27" s="9" t="s">
        <v>13</v>
      </c>
      <c r="J27" s="9" t="s">
        <v>13</v>
      </c>
      <c r="K27" s="9" t="s">
        <v>13</v>
      </c>
      <c r="L27" s="9" t="s">
        <v>13</v>
      </c>
    </row>
    <row r="28" spans="1:12" ht="12">
      <c r="A28" s="6">
        <v>1967</v>
      </c>
      <c r="B28" s="10" t="s">
        <v>13</v>
      </c>
      <c r="C28" s="10" t="s">
        <v>13</v>
      </c>
      <c r="D28" s="10" t="s">
        <v>13</v>
      </c>
      <c r="E28" s="10" t="s">
        <v>13</v>
      </c>
      <c r="F28" s="10" t="s">
        <v>13</v>
      </c>
      <c r="H28" s="9" t="s">
        <v>13</v>
      </c>
      <c r="I28" s="9" t="s">
        <v>13</v>
      </c>
      <c r="J28" s="9" t="s">
        <v>13</v>
      </c>
      <c r="K28" s="9" t="s">
        <v>13</v>
      </c>
      <c r="L28" s="9" t="s">
        <v>13</v>
      </c>
    </row>
    <row r="29" spans="1:12" ht="12">
      <c r="A29" s="6">
        <v>1968</v>
      </c>
      <c r="B29" s="10" t="s">
        <v>13</v>
      </c>
      <c r="C29" s="10" t="s">
        <v>13</v>
      </c>
      <c r="D29" s="10" t="s">
        <v>13</v>
      </c>
      <c r="E29" s="10" t="s">
        <v>13</v>
      </c>
      <c r="F29" s="10" t="s">
        <v>13</v>
      </c>
      <c r="H29" s="9" t="s">
        <v>13</v>
      </c>
      <c r="I29" s="9" t="s">
        <v>13</v>
      </c>
      <c r="J29" s="9" t="s">
        <v>13</v>
      </c>
      <c r="K29" s="9" t="s">
        <v>13</v>
      </c>
      <c r="L29" s="9" t="s">
        <v>13</v>
      </c>
    </row>
    <row r="30" spans="1:12" ht="12">
      <c r="A30" s="6">
        <v>1969</v>
      </c>
      <c r="B30" s="10" t="s">
        <v>13</v>
      </c>
      <c r="C30" s="10" t="s">
        <v>13</v>
      </c>
      <c r="D30" s="10" t="s">
        <v>13</v>
      </c>
      <c r="E30" s="10" t="s">
        <v>13</v>
      </c>
      <c r="F30" s="10" t="s">
        <v>13</v>
      </c>
      <c r="H30" s="9" t="s">
        <v>13</v>
      </c>
      <c r="I30" s="9" t="s">
        <v>13</v>
      </c>
      <c r="J30" s="9" t="s">
        <v>13</v>
      </c>
      <c r="K30" s="9" t="s">
        <v>13</v>
      </c>
      <c r="L30" s="9" t="s">
        <v>13</v>
      </c>
    </row>
    <row r="31" spans="2:12" ht="12">
      <c r="B31" s="7"/>
      <c r="C31" s="7"/>
      <c r="D31" s="7"/>
      <c r="E31" s="7"/>
      <c r="F31" s="7"/>
      <c r="H31" s="7"/>
      <c r="I31" s="7"/>
      <c r="J31" s="7"/>
      <c r="K31" s="7"/>
      <c r="L31" s="7"/>
    </row>
    <row r="32" spans="1:12" ht="12">
      <c r="A32" s="6">
        <v>1970</v>
      </c>
      <c r="B32" s="7">
        <f>SUM(C32:F32)</f>
        <v>42858</v>
      </c>
      <c r="C32" s="7">
        <f>237470/15</f>
        <v>15831.333333333334</v>
      </c>
      <c r="D32" s="7">
        <f>71320/15</f>
        <v>4754.666666666667</v>
      </c>
      <c r="E32" s="7">
        <f>94930/15</f>
        <v>6328.666666666667</v>
      </c>
      <c r="F32" s="7">
        <f>239150/15</f>
        <v>15943.333333333334</v>
      </c>
      <c r="H32" s="8">
        <f>SUM(I32:L32)</f>
        <v>68180</v>
      </c>
      <c r="I32" s="8">
        <v>33030</v>
      </c>
      <c r="J32" s="8">
        <v>8200</v>
      </c>
      <c r="K32" s="8">
        <v>8800</v>
      </c>
      <c r="L32" s="8">
        <v>18150</v>
      </c>
    </row>
    <row r="33" spans="1:12" ht="12">
      <c r="A33" s="6">
        <v>1971</v>
      </c>
      <c r="B33" s="7">
        <f>SUM(C33:F33)</f>
        <v>41458.666666666664</v>
      </c>
      <c r="C33" s="7">
        <f>250890/15</f>
        <v>16726</v>
      </c>
      <c r="D33" s="7">
        <f>74820/15</f>
        <v>4988</v>
      </c>
      <c r="E33" s="7">
        <f>94530/15</f>
        <v>6302</v>
      </c>
      <c r="F33" s="7">
        <f>201640/15</f>
        <v>13442.666666666666</v>
      </c>
      <c r="H33" s="8">
        <f>SUM(I33:L33)</f>
        <v>67300</v>
      </c>
      <c r="I33" s="8">
        <v>35850</v>
      </c>
      <c r="J33" s="8">
        <v>8800</v>
      </c>
      <c r="K33" s="8">
        <v>7700</v>
      </c>
      <c r="L33" s="8">
        <v>14950</v>
      </c>
    </row>
    <row r="34" spans="1:12" ht="12">
      <c r="A34" s="6">
        <v>1972</v>
      </c>
      <c r="B34" s="7">
        <f>SUM(C34:F34)</f>
        <v>41340</v>
      </c>
      <c r="C34" s="7">
        <f>250540/15</f>
        <v>16702.666666666668</v>
      </c>
      <c r="D34" s="7">
        <f>80350/15</f>
        <v>5356.666666666667</v>
      </c>
      <c r="E34" s="7">
        <f>86380/15</f>
        <v>5758.666666666667</v>
      </c>
      <c r="F34" s="7">
        <f>202830/15</f>
        <v>13522</v>
      </c>
      <c r="H34" s="8">
        <f>SUM(I34:L34)</f>
        <v>60500</v>
      </c>
      <c r="I34" s="8">
        <v>32100</v>
      </c>
      <c r="J34" s="8">
        <v>8050</v>
      </c>
      <c r="K34" s="8">
        <v>5950</v>
      </c>
      <c r="L34" s="8">
        <v>14400</v>
      </c>
    </row>
    <row r="35" spans="1:12" ht="12">
      <c r="A35" s="6">
        <v>1973</v>
      </c>
      <c r="B35" s="7">
        <f>SUM(C35:F35)</f>
        <v>40914.66666666667</v>
      </c>
      <c r="C35" s="7">
        <f>248560/15</f>
        <v>16570.666666666668</v>
      </c>
      <c r="D35" s="7">
        <f>78400/15</f>
        <v>5226.666666666667</v>
      </c>
      <c r="E35" s="7">
        <f>88630/15</f>
        <v>5908.666666666667</v>
      </c>
      <c r="F35" s="7">
        <f>198130/15</f>
        <v>13208.666666666666</v>
      </c>
      <c r="H35" s="8">
        <f>SUM(I35:L35)</f>
        <v>71680</v>
      </c>
      <c r="I35" s="8">
        <v>38630</v>
      </c>
      <c r="J35" s="8">
        <v>10650</v>
      </c>
      <c r="K35" s="8">
        <v>8150</v>
      </c>
      <c r="L35" s="8">
        <v>14250</v>
      </c>
    </row>
    <row r="36" spans="1:12" ht="12">
      <c r="A36" s="6">
        <v>1974</v>
      </c>
      <c r="B36" s="7">
        <f>SUM(C36:F36)</f>
        <v>39762.666666666664</v>
      </c>
      <c r="C36" s="7">
        <f>261150/15</f>
        <v>17410</v>
      </c>
      <c r="D36" s="7">
        <f>78810/15</f>
        <v>5254</v>
      </c>
      <c r="E36" s="7">
        <f>79310/15</f>
        <v>5287.333333333333</v>
      </c>
      <c r="F36" s="7">
        <f>177170/15</f>
        <v>11811.333333333334</v>
      </c>
      <c r="H36" s="8">
        <f>SUM(I36:L36)</f>
        <v>75970</v>
      </c>
      <c r="I36" s="8">
        <v>42920</v>
      </c>
      <c r="J36" s="8">
        <v>11350</v>
      </c>
      <c r="K36" s="8">
        <v>7000</v>
      </c>
      <c r="L36" s="8">
        <v>14700</v>
      </c>
    </row>
    <row r="37" spans="2:12" ht="12">
      <c r="B37" s="7"/>
      <c r="C37" s="7"/>
      <c r="D37" s="7"/>
      <c r="E37" s="7"/>
      <c r="F37" s="7"/>
      <c r="H37" s="7"/>
      <c r="I37" s="7"/>
      <c r="J37" s="7"/>
      <c r="K37" s="7"/>
      <c r="L37" s="7"/>
    </row>
    <row r="38" spans="1:12" ht="12">
      <c r="A38" s="6">
        <v>1975</v>
      </c>
      <c r="B38" s="7">
        <f>SUM(C38:F38)</f>
        <v>40904</v>
      </c>
      <c r="C38" s="7">
        <f>278970/15</f>
        <v>18598</v>
      </c>
      <c r="D38" s="7">
        <f>70050/15</f>
        <v>4670</v>
      </c>
      <c r="E38" s="7">
        <f>93770/15</f>
        <v>6251.333333333333</v>
      </c>
      <c r="F38" s="7">
        <f>170770/15</f>
        <v>11384.666666666666</v>
      </c>
      <c r="H38" s="8">
        <f>SUM(I38:L38)</f>
        <v>78720</v>
      </c>
      <c r="I38" s="8">
        <v>47220</v>
      </c>
      <c r="J38" s="8">
        <v>10750</v>
      </c>
      <c r="K38" s="8">
        <v>7150</v>
      </c>
      <c r="L38" s="8">
        <v>13600</v>
      </c>
    </row>
    <row r="39" spans="1:12" ht="12">
      <c r="A39" s="6">
        <v>1976</v>
      </c>
      <c r="B39" s="7">
        <f>SUM(C39:F39)</f>
        <v>39050</v>
      </c>
      <c r="C39" s="7">
        <f>288420/15</f>
        <v>19228</v>
      </c>
      <c r="D39" s="7">
        <f>64930/15</f>
        <v>4328.666666666667</v>
      </c>
      <c r="E39" s="7">
        <f>67510/15</f>
        <v>4500.666666666667</v>
      </c>
      <c r="F39" s="7">
        <f>164890/15</f>
        <v>10992.666666666666</v>
      </c>
      <c r="H39" s="8">
        <f>SUM(I39:L39)</f>
        <v>76860</v>
      </c>
      <c r="I39" s="8">
        <v>48160</v>
      </c>
      <c r="J39" s="8">
        <v>8700</v>
      </c>
      <c r="K39" s="8">
        <v>5550</v>
      </c>
      <c r="L39" s="8">
        <v>14450</v>
      </c>
    </row>
    <row r="40" spans="1:12" ht="12">
      <c r="A40" s="6">
        <v>1977</v>
      </c>
      <c r="B40" s="7">
        <f>SUM(C40:F40)</f>
        <v>38736.666666666664</v>
      </c>
      <c r="C40" s="7">
        <f>294870/15</f>
        <v>19658</v>
      </c>
      <c r="D40" s="7">
        <f>56390/15</f>
        <v>3759.3333333333335</v>
      </c>
      <c r="E40" s="7">
        <f>67150/15</f>
        <v>4476.666666666667</v>
      </c>
      <c r="F40" s="7">
        <f>162640/15</f>
        <v>10842.666666666666</v>
      </c>
      <c r="H40" s="8">
        <f>SUM(I40:L40)</f>
        <v>76140</v>
      </c>
      <c r="I40" s="8">
        <v>49390</v>
      </c>
      <c r="J40" s="8">
        <v>7700</v>
      </c>
      <c r="K40" s="8">
        <v>6150</v>
      </c>
      <c r="L40" s="8">
        <v>12900</v>
      </c>
    </row>
    <row r="41" spans="1:12" ht="12">
      <c r="A41" s="6">
        <v>1978</v>
      </c>
      <c r="B41" s="7">
        <f>SUM(C41:F41)</f>
        <v>38230</v>
      </c>
      <c r="C41" s="7">
        <f>299420/15</f>
        <v>19961.333333333332</v>
      </c>
      <c r="D41" s="7">
        <f>51860/15</f>
        <v>3457.3333333333335</v>
      </c>
      <c r="E41" s="7">
        <f>64060/15</f>
        <v>4270.666666666667</v>
      </c>
      <c r="F41" s="7">
        <f>158110/15</f>
        <v>10540.666666666666</v>
      </c>
      <c r="H41" s="8">
        <f>SUM(I41:L41)</f>
        <v>84170</v>
      </c>
      <c r="I41" s="8">
        <v>55945</v>
      </c>
      <c r="J41" s="8">
        <v>8060</v>
      </c>
      <c r="K41" s="8">
        <v>6565</v>
      </c>
      <c r="L41" s="8">
        <v>13600</v>
      </c>
    </row>
    <row r="42" spans="1:12" ht="12">
      <c r="A42" s="6">
        <v>1979</v>
      </c>
      <c r="B42" s="7">
        <f>SUM(C42:F42)</f>
        <v>37834.66666666667</v>
      </c>
      <c r="C42" s="7">
        <f>301990/15</f>
        <v>20132.666666666668</v>
      </c>
      <c r="D42" s="7">
        <f>47590/15</f>
        <v>3172.6666666666665</v>
      </c>
      <c r="E42" s="7">
        <f>62590/15</f>
        <v>4172.666666666667</v>
      </c>
      <c r="F42" s="7">
        <f>155350/15</f>
        <v>10356.666666666666</v>
      </c>
      <c r="H42" s="8">
        <f>SUM(I42:L42)</f>
        <v>88235</v>
      </c>
      <c r="I42" s="8">
        <v>60035</v>
      </c>
      <c r="J42" s="8">
        <v>7625</v>
      </c>
      <c r="K42" s="8">
        <v>6125</v>
      </c>
      <c r="L42" s="8">
        <v>14450</v>
      </c>
    </row>
    <row r="43" spans="2:12" ht="12">
      <c r="B43" s="7"/>
      <c r="C43" s="7"/>
      <c r="D43" s="7"/>
      <c r="E43" s="7"/>
      <c r="F43" s="7"/>
      <c r="H43" s="7"/>
      <c r="I43" s="7"/>
      <c r="J43" s="7"/>
      <c r="K43" s="7"/>
      <c r="L43" s="7"/>
    </row>
    <row r="44" spans="1:12" ht="12">
      <c r="A44" s="6">
        <v>1980</v>
      </c>
      <c r="B44" s="7">
        <f>SUM(C44:F44)</f>
        <v>36789.333333333336</v>
      </c>
      <c r="C44" s="7">
        <f>305920/15</f>
        <v>20394.666666666668</v>
      </c>
      <c r="D44" s="7">
        <f>40390/15</f>
        <v>2692.6666666666665</v>
      </c>
      <c r="E44" s="7">
        <f>58080/15</f>
        <v>3872</v>
      </c>
      <c r="F44" s="7">
        <f>147450/15</f>
        <v>9830</v>
      </c>
      <c r="H44" s="8">
        <f>SUM(I44:L44)</f>
        <v>88770</v>
      </c>
      <c r="I44" s="8">
        <v>62600</v>
      </c>
      <c r="J44" s="8">
        <v>6775</v>
      </c>
      <c r="K44" s="8">
        <v>5445</v>
      </c>
      <c r="L44" s="8">
        <v>13950</v>
      </c>
    </row>
    <row r="45" spans="1:12" ht="12">
      <c r="A45" s="6">
        <v>1981</v>
      </c>
      <c r="B45" s="7">
        <f>SUM(C45:F45)</f>
        <v>35712</v>
      </c>
      <c r="C45" s="7">
        <f>291370/15</f>
        <v>19424.666666666668</v>
      </c>
      <c r="D45" s="7">
        <f>39150/15</f>
        <v>2610</v>
      </c>
      <c r="E45" s="7">
        <f>58340/15</f>
        <v>3889.3333333333335</v>
      </c>
      <c r="F45" s="7">
        <f>146820/15</f>
        <v>9788</v>
      </c>
      <c r="H45" s="8">
        <f>SUM(I45:L45)</f>
        <v>86120</v>
      </c>
      <c r="I45" s="8">
        <v>59205</v>
      </c>
      <c r="J45" s="8">
        <v>6650</v>
      </c>
      <c r="K45" s="8">
        <v>5765</v>
      </c>
      <c r="L45" s="8">
        <v>14500</v>
      </c>
    </row>
    <row r="46" spans="1:12" ht="12">
      <c r="A46" s="6">
        <v>1982</v>
      </c>
      <c r="B46" s="7">
        <f>SUM(C46:F46)</f>
        <v>34648</v>
      </c>
      <c r="C46" s="7">
        <f>278150/15</f>
        <v>18543.333333333332</v>
      </c>
      <c r="D46" s="7">
        <f>41760/15</f>
        <v>2784</v>
      </c>
      <c r="E46" s="7">
        <f>60580/15</f>
        <v>4038.6666666666665</v>
      </c>
      <c r="F46" s="7">
        <f>139230/15</f>
        <v>9282</v>
      </c>
      <c r="H46" s="8">
        <f>SUM(I46:L46)</f>
        <v>88360</v>
      </c>
      <c r="I46" s="8">
        <v>60560</v>
      </c>
      <c r="J46" s="8">
        <v>6970</v>
      </c>
      <c r="K46" s="8">
        <v>6580</v>
      </c>
      <c r="L46" s="8">
        <v>14250</v>
      </c>
    </row>
    <row r="47" spans="1:12" ht="12">
      <c r="A47" s="6">
        <v>1983</v>
      </c>
      <c r="B47" s="7">
        <f>SUM(C47:F47)</f>
        <v>34891.33333333333</v>
      </c>
      <c r="C47" s="7">
        <f>282360/15</f>
        <v>18824</v>
      </c>
      <c r="D47" s="7">
        <f>40610/15</f>
        <v>2707.3333333333335</v>
      </c>
      <c r="E47" s="7">
        <f>61310/15</f>
        <v>4087.3333333333335</v>
      </c>
      <c r="F47" s="7">
        <f>139090/15</f>
        <v>9272.666666666666</v>
      </c>
      <c r="H47" s="8">
        <f>SUM(I47:L47)</f>
        <v>98000</v>
      </c>
      <c r="I47" s="7">
        <v>68205</v>
      </c>
      <c r="J47" s="7">
        <v>8355</v>
      </c>
      <c r="K47" s="7">
        <v>7540</v>
      </c>
      <c r="L47" s="7">
        <v>13900</v>
      </c>
    </row>
    <row r="48" spans="1:12" ht="12">
      <c r="A48" s="6">
        <v>1984</v>
      </c>
      <c r="B48" s="7">
        <f>SUM(C48:F48)</f>
        <v>33854.666666666664</v>
      </c>
      <c r="C48" s="7">
        <f>278048/15</f>
        <v>18536.533333333333</v>
      </c>
      <c r="D48" s="7">
        <f>36757/15</f>
        <v>2450.4666666666667</v>
      </c>
      <c r="E48" s="7">
        <f>56960/15</f>
        <v>3797.3333333333335</v>
      </c>
      <c r="F48" s="7">
        <f>136055/15</f>
        <v>9070.333333333334</v>
      </c>
      <c r="H48" s="8">
        <f>SUM(I48:L48)</f>
        <v>103065</v>
      </c>
      <c r="I48" s="7">
        <v>73410</v>
      </c>
      <c r="J48" s="7">
        <v>7715</v>
      </c>
      <c r="K48" s="7">
        <v>7025</v>
      </c>
      <c r="L48" s="7">
        <v>14915</v>
      </c>
    </row>
    <row r="49" spans="2:12" ht="12">
      <c r="B49" s="7"/>
      <c r="C49" s="7"/>
      <c r="D49" s="7"/>
      <c r="E49" s="7"/>
      <c r="F49" s="7"/>
      <c r="H49" s="7"/>
      <c r="I49" s="7"/>
      <c r="J49" s="7"/>
      <c r="K49" s="7"/>
      <c r="L49" s="7"/>
    </row>
    <row r="50" spans="1:12" ht="12">
      <c r="A50" s="6">
        <v>1985</v>
      </c>
      <c r="B50" s="7">
        <f>SUM(C50:F50)</f>
        <v>31267.266666666663</v>
      </c>
      <c r="C50" s="7">
        <f>265411/15</f>
        <v>17694.066666666666</v>
      </c>
      <c r="D50" s="7">
        <f>29053/15</f>
        <v>1936.8666666666666</v>
      </c>
      <c r="E50" s="7">
        <f>49777/15</f>
        <v>3318.4666666666667</v>
      </c>
      <c r="F50" s="7">
        <f>124768/15</f>
        <v>8317.866666666667</v>
      </c>
      <c r="H50" s="8">
        <f>SUM(I50:L50)</f>
        <v>88198</v>
      </c>
      <c r="I50" s="7">
        <v>63826</v>
      </c>
      <c r="J50" s="7">
        <v>5609</v>
      </c>
      <c r="K50" s="7">
        <v>5977</v>
      </c>
      <c r="L50" s="7">
        <v>12786</v>
      </c>
    </row>
    <row r="51" spans="1:12" ht="12">
      <c r="A51" s="6">
        <v>1986</v>
      </c>
      <c r="B51" s="7">
        <f>SUM(C51:F51)</f>
        <v>32071</v>
      </c>
      <c r="C51" s="7">
        <f>286855/15</f>
        <v>19123.666666666668</v>
      </c>
      <c r="D51" s="7">
        <f>28133/15</f>
        <v>1875.5333333333333</v>
      </c>
      <c r="E51" s="7">
        <f>44699/15</f>
        <v>2979.9333333333334</v>
      </c>
      <c r="F51" s="7">
        <f>121378/15</f>
        <v>8091.866666666667</v>
      </c>
      <c r="H51" s="8">
        <f>SUM(I51:L51)</f>
        <v>92297</v>
      </c>
      <c r="I51" s="7">
        <v>70856</v>
      </c>
      <c r="J51" s="7">
        <v>5384</v>
      </c>
      <c r="K51" s="7">
        <v>4540</v>
      </c>
      <c r="L51" s="7">
        <v>11517</v>
      </c>
    </row>
    <row r="52" spans="1:12" ht="12">
      <c r="A52" s="6">
        <v>1987</v>
      </c>
      <c r="B52" s="7">
        <f>SUM(C52:F52)</f>
        <v>32964.73333333334</v>
      </c>
      <c r="C52" s="7">
        <f>303175/15</f>
        <v>20211.666666666668</v>
      </c>
      <c r="D52" s="7">
        <f>27955/15</f>
        <v>1863.6666666666667</v>
      </c>
      <c r="E52" s="7">
        <f>40323/15</f>
        <v>2688.2</v>
      </c>
      <c r="F52" s="7">
        <f>123018/15</f>
        <v>8201.2</v>
      </c>
      <c r="H52" s="8">
        <f>SUM(I52:L52)</f>
        <v>102143</v>
      </c>
      <c r="I52" s="7">
        <v>79241</v>
      </c>
      <c r="J52" s="7">
        <v>5426</v>
      </c>
      <c r="K52" s="7">
        <v>4357</v>
      </c>
      <c r="L52" s="7">
        <v>13119</v>
      </c>
    </row>
    <row r="53" spans="1:12" ht="12">
      <c r="A53" s="6">
        <v>1988</v>
      </c>
      <c r="B53" s="7">
        <f>SUM(C53:F53)</f>
        <v>32176.933333333334</v>
      </c>
      <c r="C53" s="7">
        <f>295377/15</f>
        <v>19691.8</v>
      </c>
      <c r="D53" s="7">
        <f>26755/15</f>
        <v>1783.6666666666667</v>
      </c>
      <c r="E53" s="7">
        <f>37702/15</f>
        <v>2513.4666666666667</v>
      </c>
      <c r="F53" s="7">
        <f>122820/15</f>
        <v>8188</v>
      </c>
      <c r="H53" s="8">
        <f>SUM(I53:L53)</f>
        <v>100932</v>
      </c>
      <c r="I53" s="7">
        <v>77351</v>
      </c>
      <c r="J53" s="7">
        <v>5594</v>
      </c>
      <c r="K53" s="7">
        <v>4412</v>
      </c>
      <c r="L53" s="7">
        <v>13575</v>
      </c>
    </row>
    <row r="54" spans="1:12" ht="12">
      <c r="A54" s="6">
        <v>1989</v>
      </c>
      <c r="B54" s="7">
        <f>SUM(C54:F54)</f>
        <v>32508.666666666668</v>
      </c>
      <c r="C54" s="7">
        <f>305299/15</f>
        <v>20353.266666666666</v>
      </c>
      <c r="D54" s="7">
        <f>24443/15</f>
        <v>1629.5333333333333</v>
      </c>
      <c r="E54" s="7">
        <f>35942/15</f>
        <v>2396.133333333333</v>
      </c>
      <c r="F54" s="7">
        <f>121946/15</f>
        <v>8129.733333333334</v>
      </c>
      <c r="H54" s="8">
        <f>SUM(I54:L54)</f>
        <v>99081</v>
      </c>
      <c r="I54" s="7">
        <v>78928</v>
      </c>
      <c r="J54" s="7">
        <v>4435</v>
      </c>
      <c r="K54" s="7">
        <v>3753</v>
      </c>
      <c r="L54" s="7">
        <v>11965</v>
      </c>
    </row>
    <row r="55" spans="2:12" ht="12">
      <c r="B55" s="7"/>
      <c r="C55" s="7"/>
      <c r="D55" s="7"/>
      <c r="E55" s="7"/>
      <c r="F55" s="7"/>
      <c r="H55" s="7"/>
      <c r="I55" s="7"/>
      <c r="J55" s="7"/>
      <c r="K55" s="7"/>
      <c r="L55" s="7"/>
    </row>
    <row r="56" spans="1:12" ht="12">
      <c r="A56" s="6">
        <v>1990</v>
      </c>
      <c r="B56" s="7">
        <f>SUM(C56:F56)</f>
        <v>32967.86666666667</v>
      </c>
      <c r="C56" s="7">
        <f>321022/15</f>
        <v>21401.466666666667</v>
      </c>
      <c r="D56" s="7">
        <f>23173/15</f>
        <v>1544.8666666666666</v>
      </c>
      <c r="E56" s="7">
        <f>34177/15</f>
        <v>2278.4666666666667</v>
      </c>
      <c r="F56" s="7">
        <f>116146/15</f>
        <v>7743.066666666667</v>
      </c>
      <c r="H56" s="8">
        <f>SUM(I56:L56)</f>
        <v>120250</v>
      </c>
      <c r="I56" s="7">
        <v>96819</v>
      </c>
      <c r="J56" s="7">
        <v>5675</v>
      </c>
      <c r="K56" s="7">
        <v>4575</v>
      </c>
      <c r="L56" s="7">
        <v>13181</v>
      </c>
    </row>
    <row r="57" spans="2:12" ht="12">
      <c r="B57" s="7"/>
      <c r="C57" s="7"/>
      <c r="D57" s="7"/>
      <c r="E57" s="7"/>
      <c r="F57" s="7"/>
      <c r="H57" s="7"/>
      <c r="I57" s="7"/>
      <c r="J57" s="7"/>
      <c r="K57" s="7"/>
      <c r="L57" s="7"/>
    </row>
    <row r="58" spans="2:12" ht="12">
      <c r="B58" s="7"/>
      <c r="C58" s="7"/>
      <c r="D58" s="7"/>
      <c r="E58" s="7"/>
      <c r="F58" s="7"/>
      <c r="H58" s="7"/>
      <c r="I58" s="7"/>
      <c r="J58" s="7"/>
      <c r="K58" s="7"/>
      <c r="L58" s="7"/>
    </row>
    <row r="59" spans="1:12" ht="12">
      <c r="A59" s="1" t="s">
        <v>14</v>
      </c>
      <c r="B59" s="7"/>
      <c r="C59" s="7"/>
      <c r="D59" s="7"/>
      <c r="E59" s="7"/>
      <c r="F59" s="7"/>
      <c r="H59" s="7"/>
      <c r="I59" s="7"/>
      <c r="J59" s="7"/>
      <c r="K59" s="7"/>
      <c r="L59" s="7"/>
    </row>
    <row r="60" spans="1:12" ht="12">
      <c r="A60" s="1" t="s">
        <v>15</v>
      </c>
      <c r="B60" s="7"/>
      <c r="C60" s="7"/>
      <c r="D60" s="7"/>
      <c r="E60" s="7"/>
      <c r="F60" s="7"/>
      <c r="H60" s="7"/>
      <c r="I60" s="7"/>
      <c r="J60" s="7"/>
      <c r="K60" s="7"/>
      <c r="L60" s="7"/>
    </row>
    <row r="61" spans="1:12" ht="12">
      <c r="A61" s="1" t="s">
        <v>16</v>
      </c>
      <c r="B61" s="7"/>
      <c r="C61" s="7"/>
      <c r="D61" s="7"/>
      <c r="E61" s="7"/>
      <c r="F61" s="7"/>
      <c r="H61" s="7"/>
      <c r="I61" s="7"/>
      <c r="J61" s="7"/>
      <c r="K61" s="7"/>
      <c r="L61" s="7"/>
    </row>
    <row r="62" ht="12">
      <c r="A62" s="1" t="s">
        <v>17</v>
      </c>
    </row>
    <row r="63" ht="12">
      <c r="A63" s="1" t="s">
        <v>18</v>
      </c>
    </row>
    <row r="64" spans="2:12" ht="12">
      <c r="B64" s="7"/>
      <c r="C64" s="7"/>
      <c r="D64" s="7"/>
      <c r="E64" s="7"/>
      <c r="F64" s="7"/>
      <c r="H64" s="7"/>
      <c r="I64" s="7"/>
      <c r="J64" s="7"/>
      <c r="K64" s="7"/>
      <c r="L64" s="7"/>
    </row>
    <row r="65" spans="1:12" ht="12">
      <c r="A65" s="1" t="s">
        <v>19</v>
      </c>
      <c r="B65" s="7"/>
      <c r="C65" s="7"/>
      <c r="D65" s="7"/>
      <c r="E65" s="7"/>
      <c r="F65" s="7"/>
      <c r="H65" s="7"/>
      <c r="I65" s="7"/>
      <c r="J65" s="7"/>
      <c r="K65" s="7"/>
      <c r="L65" s="7"/>
    </row>
    <row r="66" spans="2:12" ht="12">
      <c r="B66" s="7"/>
      <c r="C66" s="7"/>
      <c r="D66" s="7"/>
      <c r="E66" s="7"/>
      <c r="F66" s="7"/>
      <c r="H66" s="7"/>
      <c r="I66" s="7"/>
      <c r="J66" s="7"/>
      <c r="K66" s="7"/>
      <c r="L66" s="7"/>
    </row>
    <row r="67" spans="2:12" ht="12">
      <c r="B67" s="7"/>
      <c r="C67" s="7"/>
      <c r="D67" s="7"/>
      <c r="E67" s="7"/>
      <c r="F67" s="7"/>
      <c r="H67" s="7"/>
      <c r="I67" s="7"/>
      <c r="J67" s="7"/>
      <c r="K67" s="7"/>
      <c r="L67" s="7"/>
    </row>
    <row r="68" spans="2:12" ht="12">
      <c r="B68" s="7"/>
      <c r="C68" s="7"/>
      <c r="D68" s="7"/>
      <c r="E68" s="7"/>
      <c r="F68" s="7"/>
      <c r="H68" s="7"/>
      <c r="I68" s="7"/>
      <c r="J68" s="7"/>
      <c r="K68" s="7"/>
      <c r="L68" s="7"/>
    </row>
    <row r="69" spans="3:11" ht="12">
      <c r="C69" s="1" t="s">
        <v>20</v>
      </c>
      <c r="D69" s="1" t="s">
        <v>21</v>
      </c>
      <c r="E69" s="1" t="s">
        <v>21</v>
      </c>
      <c r="F69" s="1" t="s">
        <v>21</v>
      </c>
      <c r="H69" s="1" t="s">
        <v>20</v>
      </c>
      <c r="I69" s="1" t="s">
        <v>21</v>
      </c>
      <c r="J69" s="1" t="s">
        <v>21</v>
      </c>
      <c r="K69" s="1" t="s">
        <v>21</v>
      </c>
    </row>
    <row r="70" spans="3:11" ht="12">
      <c r="C70" s="1" t="s">
        <v>22</v>
      </c>
      <c r="D70" s="1" t="s">
        <v>23</v>
      </c>
      <c r="E70" s="1" t="s">
        <v>24</v>
      </c>
      <c r="F70" s="1" t="s">
        <v>25</v>
      </c>
      <c r="H70" s="1" t="s">
        <v>26</v>
      </c>
      <c r="I70" s="1" t="s">
        <v>27</v>
      </c>
      <c r="J70" s="1" t="s">
        <v>28</v>
      </c>
      <c r="K70" s="1" t="s">
        <v>29</v>
      </c>
    </row>
    <row r="71" ht="12">
      <c r="C71" s="1" t="s">
        <v>30</v>
      </c>
    </row>
    <row r="72" spans="3:6" ht="12">
      <c r="C72" s="1" t="s">
        <v>31</v>
      </c>
      <c r="E72" s="1" t="s">
        <v>32</v>
      </c>
      <c r="F72" s="3" t="s">
        <v>33</v>
      </c>
    </row>
    <row r="73" spans="3:5" ht="12">
      <c r="C73" s="1" t="s">
        <v>34</v>
      </c>
      <c r="E73" s="3" t="s">
        <v>35</v>
      </c>
    </row>
    <row r="74" spans="3:5" ht="12">
      <c r="C74" s="1" t="s">
        <v>36</v>
      </c>
      <c r="E74" s="3" t="s">
        <v>37</v>
      </c>
    </row>
    <row r="75" ht="12">
      <c r="C75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2002-03-17T21:52:51Z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