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9465" activeTab="0"/>
  </bookViews>
  <sheets>
    <sheet name="TBL_129" sheetId="1" r:id="rId1"/>
  </sheets>
  <definedNames>
    <definedName name="\a">'TBL_129'!$HY$8129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<sst xmlns="http://schemas.openxmlformats.org/spreadsheetml/2006/main" count="54" uniqueCount="46">
  <si>
    <t>Table 129--Cow milk production, by region and province, China, 1979-90</t>
  </si>
  <si>
    <t>Region/province</t>
  </si>
  <si>
    <t xml:space="preserve">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</si>
  <si>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</si>
  <si>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</si>
  <si>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</si>
  <si>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</si>
  <si>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</si>
  <si>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</si>
  <si>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</si>
  <si>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</si>
  <si>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</si>
  <si>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</si>
  <si>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</si>
  <si>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</si>
  <si>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</si>
  <si>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</si>
  <si>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</si>
  <si>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</si>
  <si>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</si>
  <si>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</si>
  <si>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</si>
  <si>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</si>
  <si>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</si>
  <si>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</si>
  <si>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</si>
  <si>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</si>
  <si>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</si>
  <si>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</si>
  <si>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</si>
  <si>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</si>
  <si>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</si>
  <si>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</si>
  <si>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</si>
  <si>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</si>
  <si>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</si>
  <si>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</si>
  <si>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</si>
  <si>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</si>
  <si>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</si>
  <si>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</si>
  <si>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</si>
  <si>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</si>
  <si>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Hainan data available beginning in 1988 -- prior years included in Guangdong.</t>
  </si>
  <si>
    <t xml:space="preserve">    Sources:  (2, p. 120), (4, p. 57), (6, p. 116), (7, p. 175), (8, p. 210), (9, p. 255), (10, p. 279), (11, p. 312), (34, p. 378), (35, p. 361)</t>
  </si>
  <si>
    <t>and (39, p. 93).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</si>
</sst>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5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14" width="7.625" style="0" customWidth="1"/>
  </cols>
  <sheetData>
    <row r="1" ht="12">
      <c r="A1" s="1" t="s">
        <v>0</v>
      </c>
    </row>
    <row r="2" spans="1:14" ht="12">
      <c r="A2" s="2"/>
      <c r="B2" s="2"/>
      <c r="C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>
      <c r="A3" s="1" t="s">
        <v>1</v>
      </c>
      <c r="B3" s="3"/>
      <c r="C3" s="3">
        <v>1979</v>
      </c>
      <c r="D3" s="4">
        <v>1980</v>
      </c>
      <c r="E3" s="3">
        <v>1981</v>
      </c>
      <c r="F3" s="4">
        <v>1982</v>
      </c>
      <c r="G3" s="4">
        <v>1983</v>
      </c>
      <c r="H3" s="4">
        <v>1984</v>
      </c>
      <c r="I3" s="4">
        <v>1985</v>
      </c>
      <c r="J3" s="4">
        <v>1986</v>
      </c>
      <c r="K3" s="4">
        <v>1987</v>
      </c>
      <c r="L3" s="4">
        <v>1988</v>
      </c>
      <c r="M3" s="4">
        <v>1989</v>
      </c>
      <c r="N3" s="4">
        <v>1990</v>
      </c>
    </row>
    <row r="4" spans="1:14" ht="12">
      <c r="A4" s="2"/>
      <c r="B4" s="2"/>
      <c r="C4" s="2"/>
      <c r="E4" s="2"/>
      <c r="F4" s="2"/>
      <c r="G4" s="2"/>
      <c r="H4" s="2"/>
      <c r="I4" s="2"/>
      <c r="J4" s="2"/>
      <c r="K4" s="2"/>
      <c r="L4" s="2"/>
      <c r="M4" s="2"/>
      <c r="N4" s="2"/>
    </row>
    <row r="5" ht="12">
      <c r="H5" s="5" t="s">
        <v>2</v>
      </c>
    </row>
    <row r="6" spans="3:5" ht="12">
      <c r="C6" s="3"/>
      <c r="E6" s="3"/>
    </row>
    <row r="7" spans="1:14" ht="12">
      <c r="A7" s="1" t="s">
        <v>3</v>
      </c>
      <c r="C7" s="6">
        <f aca="true" t="shared" si="0" ref="C7:N7">SUM(C8:C10)</f>
        <v>186.15699999999998</v>
      </c>
      <c r="D7" s="6">
        <f t="shared" si="0"/>
        <v>245.17</v>
      </c>
      <c r="E7" s="6">
        <f t="shared" si="0"/>
        <v>236.423</v>
      </c>
      <c r="F7" s="6">
        <f t="shared" si="0"/>
        <v>404</v>
      </c>
      <c r="G7" s="6">
        <f t="shared" si="0"/>
        <v>486</v>
      </c>
      <c r="H7" s="6">
        <f t="shared" si="0"/>
        <v>536</v>
      </c>
      <c r="I7" s="6">
        <f t="shared" si="0"/>
        <v>582</v>
      </c>
      <c r="J7" s="6">
        <f t="shared" si="0"/>
        <v>718</v>
      </c>
      <c r="K7" s="6">
        <f t="shared" si="0"/>
        <v>854</v>
      </c>
      <c r="L7" s="6">
        <f t="shared" si="0"/>
        <v>1037</v>
      </c>
      <c r="M7" s="6">
        <f t="shared" si="0"/>
        <v>1108</v>
      </c>
      <c r="N7" s="6">
        <f t="shared" si="0"/>
        <v>1278</v>
      </c>
    </row>
    <row r="8" spans="2:14" ht="12">
      <c r="B8" s="1" t="s">
        <v>4</v>
      </c>
      <c r="C8" s="6">
        <f>241660*0.0005</f>
        <v>120.83</v>
      </c>
      <c r="D8" s="7">
        <v>123.6</v>
      </c>
      <c r="E8" s="6">
        <f>302805*0.0005</f>
        <v>151.4025</v>
      </c>
      <c r="F8" s="7">
        <v>310</v>
      </c>
      <c r="G8" s="7">
        <v>379</v>
      </c>
      <c r="H8" s="7">
        <v>400</v>
      </c>
      <c r="I8" s="7">
        <v>430</v>
      </c>
      <c r="J8" s="7">
        <v>538</v>
      </c>
      <c r="K8" s="7">
        <v>663</v>
      </c>
      <c r="L8" s="7">
        <v>818</v>
      </c>
      <c r="M8" s="7">
        <v>871</v>
      </c>
      <c r="N8" s="7">
        <v>1017</v>
      </c>
    </row>
    <row r="9" spans="2:14" ht="12">
      <c r="B9" s="1" t="s">
        <v>5</v>
      </c>
      <c r="C9" s="6">
        <f>86000*0.0005</f>
        <v>43</v>
      </c>
      <c r="D9" s="7">
        <v>96.59</v>
      </c>
      <c r="E9" s="6">
        <f>116070*0.0005</f>
        <v>58.035000000000004</v>
      </c>
      <c r="F9" s="7">
        <v>63</v>
      </c>
      <c r="G9" s="7">
        <v>73</v>
      </c>
      <c r="H9" s="7">
        <v>92</v>
      </c>
      <c r="I9" s="7">
        <v>91</v>
      </c>
      <c r="J9" s="7">
        <v>103</v>
      </c>
      <c r="K9" s="7">
        <v>109</v>
      </c>
      <c r="L9" s="7">
        <v>127</v>
      </c>
      <c r="M9" s="7">
        <v>130</v>
      </c>
      <c r="N9" s="7">
        <v>144</v>
      </c>
    </row>
    <row r="10" spans="2:14" ht="12">
      <c r="B10" s="1" t="s">
        <v>6</v>
      </c>
      <c r="C10" s="6">
        <f>44654*0.0005</f>
        <v>22.327</v>
      </c>
      <c r="D10" s="7">
        <v>24.98</v>
      </c>
      <c r="E10" s="6">
        <f>53971*0.0005</f>
        <v>26.985500000000002</v>
      </c>
      <c r="F10" s="7">
        <v>31</v>
      </c>
      <c r="G10" s="7">
        <v>34</v>
      </c>
      <c r="H10" s="7">
        <v>44</v>
      </c>
      <c r="I10" s="7">
        <v>61</v>
      </c>
      <c r="J10" s="7">
        <v>77</v>
      </c>
      <c r="K10" s="7">
        <v>82</v>
      </c>
      <c r="L10" s="7">
        <v>92</v>
      </c>
      <c r="M10" s="7">
        <v>107</v>
      </c>
      <c r="N10" s="7">
        <v>117</v>
      </c>
    </row>
    <row r="11" spans="3:14" ht="12">
      <c r="C11" s="6"/>
      <c r="D11" s="7"/>
      <c r="E11" s="6"/>
      <c r="F11" s="7"/>
      <c r="G11" s="7"/>
      <c r="H11" s="7"/>
      <c r="I11" s="7"/>
      <c r="J11" s="7"/>
      <c r="K11" s="7"/>
      <c r="L11" s="7"/>
      <c r="M11" s="7"/>
      <c r="N11" s="7"/>
    </row>
    <row r="12" spans="1:14" ht="12">
      <c r="A12" s="1" t="s">
        <v>7</v>
      </c>
      <c r="C12" s="6">
        <f aca="true" t="shared" si="1" ref="C12:N12">SUM(C13:C18)</f>
        <v>141.1895</v>
      </c>
      <c r="D12" s="6">
        <f t="shared" si="1"/>
        <v>161.47999999999996</v>
      </c>
      <c r="E12" s="6">
        <f t="shared" si="1"/>
        <v>180.0925</v>
      </c>
      <c r="F12" s="6">
        <f t="shared" si="1"/>
        <v>213</v>
      </c>
      <c r="G12" s="6">
        <f t="shared" si="1"/>
        <v>260</v>
      </c>
      <c r="H12" s="6">
        <f t="shared" si="1"/>
        <v>323</v>
      </c>
      <c r="I12" s="6">
        <f t="shared" si="1"/>
        <v>392</v>
      </c>
      <c r="J12" s="6">
        <f t="shared" si="1"/>
        <v>449</v>
      </c>
      <c r="K12" s="6">
        <f t="shared" si="1"/>
        <v>515</v>
      </c>
      <c r="L12" s="6">
        <f t="shared" si="1"/>
        <v>580</v>
      </c>
      <c r="M12" s="6">
        <f t="shared" si="1"/>
        <v>602</v>
      </c>
      <c r="N12" s="6">
        <f t="shared" si="1"/>
        <v>662</v>
      </c>
    </row>
    <row r="13" spans="2:14" ht="12">
      <c r="B13" s="1" t="s">
        <v>8</v>
      </c>
      <c r="C13" s="6">
        <f>25936*0.0005</f>
        <v>12.968</v>
      </c>
      <c r="D13" s="7">
        <v>13.375</v>
      </c>
      <c r="E13" s="6">
        <f>27660*0.0005</f>
        <v>13.83</v>
      </c>
      <c r="F13" s="7">
        <v>11</v>
      </c>
      <c r="G13" s="7">
        <v>19</v>
      </c>
      <c r="H13" s="7">
        <v>25</v>
      </c>
      <c r="I13" s="7">
        <v>35</v>
      </c>
      <c r="J13" s="7">
        <v>40</v>
      </c>
      <c r="K13" s="7">
        <v>50</v>
      </c>
      <c r="L13" s="7">
        <v>55</v>
      </c>
      <c r="M13" s="7">
        <v>60</v>
      </c>
      <c r="N13" s="7">
        <v>70</v>
      </c>
    </row>
    <row r="14" spans="2:14" ht="12">
      <c r="B14" s="1" t="s">
        <v>9</v>
      </c>
      <c r="C14" s="6">
        <f>45986*0.0005</f>
        <v>22.993000000000002</v>
      </c>
      <c r="D14" s="7">
        <v>26.505</v>
      </c>
      <c r="E14" s="6">
        <f>53426*0.0005</f>
        <v>26.713</v>
      </c>
      <c r="F14" s="7">
        <v>35</v>
      </c>
      <c r="G14" s="7">
        <v>41</v>
      </c>
      <c r="H14" s="7">
        <v>55</v>
      </c>
      <c r="I14" s="7">
        <v>73</v>
      </c>
      <c r="J14" s="7">
        <v>84</v>
      </c>
      <c r="K14" s="7">
        <v>102</v>
      </c>
      <c r="L14" s="7">
        <v>109</v>
      </c>
      <c r="M14" s="7">
        <v>103</v>
      </c>
      <c r="N14" s="7">
        <v>112</v>
      </c>
    </row>
    <row r="15" spans="2:14" ht="12">
      <c r="B15" s="1" t="s">
        <v>10</v>
      </c>
      <c r="C15" s="6">
        <f>119443*0.0005</f>
        <v>59.7215</v>
      </c>
      <c r="D15" s="7">
        <v>68.09</v>
      </c>
      <c r="E15" s="6">
        <f>152500*0.0005</f>
        <v>76.25</v>
      </c>
      <c r="F15" s="7">
        <v>89</v>
      </c>
      <c r="G15" s="7">
        <v>106</v>
      </c>
      <c r="H15" s="7">
        <v>126</v>
      </c>
      <c r="I15" s="7">
        <v>135</v>
      </c>
      <c r="J15" s="7">
        <v>146</v>
      </c>
      <c r="K15" s="7">
        <v>155</v>
      </c>
      <c r="L15" s="7">
        <v>180</v>
      </c>
      <c r="M15" s="7">
        <v>199</v>
      </c>
      <c r="N15" s="7">
        <v>217</v>
      </c>
    </row>
    <row r="16" spans="2:14" ht="12">
      <c r="B16" s="1" t="s">
        <v>11</v>
      </c>
      <c r="C16" s="6">
        <f>39200*0.0005</f>
        <v>19.6</v>
      </c>
      <c r="D16" s="7">
        <v>22.36</v>
      </c>
      <c r="E16" s="6">
        <f>52207*0.0005</f>
        <v>26.1035</v>
      </c>
      <c r="F16" s="7">
        <v>29</v>
      </c>
      <c r="G16" s="7">
        <v>34</v>
      </c>
      <c r="H16" s="7">
        <v>39</v>
      </c>
      <c r="I16" s="7">
        <v>43</v>
      </c>
      <c r="J16" s="7">
        <v>47</v>
      </c>
      <c r="K16" s="7">
        <v>53</v>
      </c>
      <c r="L16" s="7">
        <v>62</v>
      </c>
      <c r="M16" s="7">
        <v>67</v>
      </c>
      <c r="N16" s="7">
        <v>76</v>
      </c>
    </row>
    <row r="17" spans="2:14" ht="12">
      <c r="B17" s="1" t="s">
        <v>12</v>
      </c>
      <c r="C17" s="6">
        <f>17564*0.0005</f>
        <v>8.782</v>
      </c>
      <c r="D17" s="7">
        <v>7.98</v>
      </c>
      <c r="E17" s="6">
        <f>20928*0.0005</f>
        <v>10.464</v>
      </c>
      <c r="F17" s="7">
        <v>13</v>
      </c>
      <c r="G17" s="7">
        <v>14</v>
      </c>
      <c r="H17" s="7">
        <v>17</v>
      </c>
      <c r="I17" s="7">
        <v>23</v>
      </c>
      <c r="J17" s="7">
        <v>26</v>
      </c>
      <c r="K17" s="7">
        <v>29</v>
      </c>
      <c r="L17" s="7">
        <v>30</v>
      </c>
      <c r="M17" s="7">
        <v>28</v>
      </c>
      <c r="N17" s="7">
        <v>27</v>
      </c>
    </row>
    <row r="18" spans="2:14" ht="12">
      <c r="B18" s="1" t="s">
        <v>13</v>
      </c>
      <c r="C18" s="6">
        <f>34250*0.0005</f>
        <v>17.125</v>
      </c>
      <c r="D18" s="7">
        <v>23.17</v>
      </c>
      <c r="E18" s="6">
        <f>53464*0.0005</f>
        <v>26.732</v>
      </c>
      <c r="F18" s="7">
        <v>36</v>
      </c>
      <c r="G18" s="7">
        <v>46</v>
      </c>
      <c r="H18" s="7">
        <v>61</v>
      </c>
      <c r="I18" s="7">
        <v>83</v>
      </c>
      <c r="J18" s="7">
        <v>106</v>
      </c>
      <c r="K18" s="7">
        <v>126</v>
      </c>
      <c r="L18" s="7">
        <v>144</v>
      </c>
      <c r="M18" s="7">
        <v>145</v>
      </c>
      <c r="N18" s="7">
        <v>160</v>
      </c>
    </row>
    <row r="19" spans="3:14" ht="12">
      <c r="C19" s="6"/>
      <c r="D19" s="7"/>
      <c r="E19" s="6"/>
      <c r="F19" s="7"/>
      <c r="G19" s="7"/>
      <c r="H19" s="7"/>
      <c r="I19" s="7"/>
      <c r="J19" s="7"/>
      <c r="K19" s="7"/>
      <c r="L19" s="7"/>
      <c r="M19" s="7"/>
      <c r="N19" s="7"/>
    </row>
    <row r="20" spans="1:14" ht="12">
      <c r="A20" s="1" t="s">
        <v>14</v>
      </c>
      <c r="C20" s="6">
        <f aca="true" t="shared" si="2" ref="C20:N20">SUM(C21:C26)</f>
        <v>298.95500000000004</v>
      </c>
      <c r="D20" s="6">
        <f t="shared" si="2"/>
        <v>286.72999999999996</v>
      </c>
      <c r="E20" s="6">
        <f t="shared" si="2"/>
        <v>359.66400000000004</v>
      </c>
      <c r="F20" s="6">
        <f t="shared" si="2"/>
        <v>406</v>
      </c>
      <c r="G20" s="6">
        <f t="shared" si="2"/>
        <v>464</v>
      </c>
      <c r="H20" s="6">
        <f t="shared" si="2"/>
        <v>546</v>
      </c>
      <c r="I20" s="6">
        <f t="shared" si="2"/>
        <v>674</v>
      </c>
      <c r="J20" s="6">
        <f t="shared" si="2"/>
        <v>748</v>
      </c>
      <c r="K20" s="6">
        <f t="shared" si="2"/>
        <v>890</v>
      </c>
      <c r="L20" s="6">
        <f t="shared" si="2"/>
        <v>990</v>
      </c>
      <c r="M20" s="6">
        <f t="shared" si="2"/>
        <v>1049</v>
      </c>
      <c r="N20" s="6">
        <f t="shared" si="2"/>
        <v>1094</v>
      </c>
    </row>
    <row r="21" spans="2:14" ht="12">
      <c r="B21" s="1" t="s">
        <v>15</v>
      </c>
      <c r="C21" s="6">
        <f>31918*0.0005</f>
        <v>15.959</v>
      </c>
      <c r="D21" s="7">
        <v>17.005</v>
      </c>
      <c r="E21" s="6">
        <f>34243*0.0005</f>
        <v>17.1215</v>
      </c>
      <c r="F21" s="7">
        <v>22</v>
      </c>
      <c r="G21" s="7">
        <v>27</v>
      </c>
      <c r="H21" s="7">
        <v>43</v>
      </c>
      <c r="I21" s="7">
        <v>56</v>
      </c>
      <c r="J21" s="7">
        <v>70</v>
      </c>
      <c r="K21" s="7">
        <v>91</v>
      </c>
      <c r="L21" s="7">
        <v>105</v>
      </c>
      <c r="M21" s="7">
        <v>93</v>
      </c>
      <c r="N21" s="7">
        <v>95</v>
      </c>
    </row>
    <row r="22" spans="2:14" ht="12">
      <c r="B22" s="1" t="s">
        <v>16</v>
      </c>
      <c r="C22" s="6">
        <f>40434*0.0005</f>
        <v>20.217</v>
      </c>
      <c r="D22" s="7">
        <v>24.66</v>
      </c>
      <c r="E22" s="6">
        <f>54717*0.0005</f>
        <v>27.3585</v>
      </c>
      <c r="F22" s="7">
        <v>27</v>
      </c>
      <c r="G22" s="7">
        <v>30</v>
      </c>
      <c r="H22" s="7">
        <v>34</v>
      </c>
      <c r="I22" s="7">
        <v>43</v>
      </c>
      <c r="J22" s="7">
        <v>58</v>
      </c>
      <c r="K22" s="7">
        <v>66</v>
      </c>
      <c r="L22" s="7">
        <v>69</v>
      </c>
      <c r="M22" s="7">
        <v>74</v>
      </c>
      <c r="N22" s="7">
        <v>79</v>
      </c>
    </row>
    <row r="23" spans="2:14" ht="12">
      <c r="B23" s="1" t="s">
        <v>17</v>
      </c>
      <c r="C23" s="6">
        <f>213439*0.0005</f>
        <v>106.7195</v>
      </c>
      <c r="D23" s="7">
        <v>66.945</v>
      </c>
      <c r="E23" s="6">
        <f>237596*0.0005</f>
        <v>118.798</v>
      </c>
      <c r="F23" s="7">
        <v>151</v>
      </c>
      <c r="G23" s="7">
        <v>167</v>
      </c>
      <c r="H23" s="7">
        <v>200</v>
      </c>
      <c r="I23" s="7">
        <v>244</v>
      </c>
      <c r="J23" s="7">
        <v>245</v>
      </c>
      <c r="K23" s="7">
        <v>268</v>
      </c>
      <c r="L23" s="7">
        <v>309</v>
      </c>
      <c r="M23" s="7">
        <v>353</v>
      </c>
      <c r="N23" s="7">
        <v>370</v>
      </c>
    </row>
    <row r="24" spans="2:14" ht="12">
      <c r="B24" s="1" t="s">
        <v>18</v>
      </c>
      <c r="C24" s="6">
        <f>7352*0.0005</f>
        <v>3.676</v>
      </c>
      <c r="D24" s="7">
        <v>4.15</v>
      </c>
      <c r="E24" s="6">
        <f>8618*0.0005</f>
        <v>4.309</v>
      </c>
      <c r="F24" s="7">
        <v>5</v>
      </c>
      <c r="G24" s="7">
        <v>6</v>
      </c>
      <c r="H24" s="7">
        <v>8</v>
      </c>
      <c r="I24" s="7">
        <v>12</v>
      </c>
      <c r="J24" s="7">
        <v>16</v>
      </c>
      <c r="K24" s="7">
        <v>23</v>
      </c>
      <c r="L24" s="7">
        <v>29</v>
      </c>
      <c r="M24" s="7">
        <v>33</v>
      </c>
      <c r="N24" s="7">
        <v>41</v>
      </c>
    </row>
    <row r="25" spans="2:14" ht="12">
      <c r="B25" s="1" t="s">
        <v>19</v>
      </c>
      <c r="C25" s="6">
        <f>112847*0.0005</f>
        <v>56.423500000000004</v>
      </c>
      <c r="D25" s="7">
        <v>58.355</v>
      </c>
      <c r="E25" s="6">
        <f>141290*0.0005</f>
        <v>70.645</v>
      </c>
      <c r="F25" s="7">
        <v>78</v>
      </c>
      <c r="G25" s="7">
        <v>104</v>
      </c>
      <c r="H25" s="7">
        <v>126</v>
      </c>
      <c r="I25" s="7">
        <v>164</v>
      </c>
      <c r="J25" s="7">
        <v>204</v>
      </c>
      <c r="K25" s="7">
        <v>267</v>
      </c>
      <c r="L25" s="7">
        <v>287</v>
      </c>
      <c r="M25" s="7">
        <v>294</v>
      </c>
      <c r="N25" s="7">
        <v>308</v>
      </c>
    </row>
    <row r="26" spans="2:14" ht="12">
      <c r="B26" s="1" t="s">
        <v>20</v>
      </c>
      <c r="C26" s="6">
        <f>191920*0.0005</f>
        <v>95.96000000000001</v>
      </c>
      <c r="D26" s="7">
        <v>115.615</v>
      </c>
      <c r="E26" s="6">
        <f>242864*0.0005</f>
        <v>121.432</v>
      </c>
      <c r="F26" s="7">
        <v>123</v>
      </c>
      <c r="G26" s="7">
        <v>130</v>
      </c>
      <c r="H26" s="7">
        <v>135</v>
      </c>
      <c r="I26" s="7">
        <v>155</v>
      </c>
      <c r="J26" s="7">
        <v>155</v>
      </c>
      <c r="K26" s="7">
        <v>175</v>
      </c>
      <c r="L26" s="7">
        <v>191</v>
      </c>
      <c r="M26" s="7">
        <v>202</v>
      </c>
      <c r="N26" s="7">
        <v>201</v>
      </c>
    </row>
    <row r="27" spans="3:14" ht="12">
      <c r="C27" s="6"/>
      <c r="D27" s="7"/>
      <c r="E27" s="6"/>
      <c r="F27" s="7"/>
      <c r="G27" s="7"/>
      <c r="H27" s="7"/>
      <c r="I27" s="7"/>
      <c r="J27" s="7"/>
      <c r="K27" s="7"/>
      <c r="L27" s="7"/>
      <c r="M27" s="7"/>
      <c r="N27" s="7"/>
    </row>
    <row r="28" spans="1:14" ht="12">
      <c r="A28" s="1" t="s">
        <v>21</v>
      </c>
      <c r="C28" s="6">
        <f aca="true" t="shared" si="3" ref="C28:N28">SUM(C29:C32)</f>
        <v>129.5755</v>
      </c>
      <c r="D28" s="6">
        <f t="shared" si="3"/>
        <v>142.63000000000002</v>
      </c>
      <c r="E28" s="6">
        <f t="shared" si="3"/>
        <v>165.915</v>
      </c>
      <c r="F28" s="6">
        <f t="shared" si="3"/>
        <v>199</v>
      </c>
      <c r="G28" s="6">
        <f t="shared" si="3"/>
        <v>235</v>
      </c>
      <c r="H28" s="6">
        <f t="shared" si="3"/>
        <v>295</v>
      </c>
      <c r="I28" s="6">
        <f t="shared" si="3"/>
        <v>340</v>
      </c>
      <c r="J28" s="6">
        <f t="shared" si="3"/>
        <v>379</v>
      </c>
      <c r="K28" s="6">
        <f t="shared" si="3"/>
        <v>413</v>
      </c>
      <c r="L28" s="6">
        <f t="shared" si="3"/>
        <v>431</v>
      </c>
      <c r="M28" s="6">
        <f t="shared" si="3"/>
        <v>414</v>
      </c>
      <c r="N28" s="6">
        <f t="shared" si="3"/>
        <v>452</v>
      </c>
    </row>
    <row r="29" spans="2:14" ht="12">
      <c r="B29" s="1" t="s">
        <v>22</v>
      </c>
      <c r="C29" s="6">
        <f>61600*0.0005</f>
        <v>30.8</v>
      </c>
      <c r="D29" s="7">
        <v>35.155</v>
      </c>
      <c r="E29" s="6">
        <f>82886*0.0005</f>
        <v>41.443</v>
      </c>
      <c r="F29" s="7">
        <v>55</v>
      </c>
      <c r="G29" s="7">
        <v>72</v>
      </c>
      <c r="H29" s="7">
        <v>90</v>
      </c>
      <c r="I29" s="7">
        <v>105</v>
      </c>
      <c r="J29" s="7">
        <v>121</v>
      </c>
      <c r="K29" s="7">
        <v>133</v>
      </c>
      <c r="L29" s="7">
        <v>122</v>
      </c>
      <c r="M29" s="7">
        <v>103</v>
      </c>
      <c r="N29" s="7">
        <v>113</v>
      </c>
    </row>
    <row r="30" spans="2:14" ht="12">
      <c r="B30" s="1" t="s">
        <v>23</v>
      </c>
      <c r="C30" s="6">
        <f>48586*0.0005</f>
        <v>24.293</v>
      </c>
      <c r="D30" s="7">
        <v>26.995</v>
      </c>
      <c r="E30" s="6">
        <f>69699*0.0005</f>
        <v>34.8495</v>
      </c>
      <c r="F30" s="7">
        <v>41</v>
      </c>
      <c r="G30" s="7">
        <v>48</v>
      </c>
      <c r="H30" s="7">
        <v>65</v>
      </c>
      <c r="I30" s="7">
        <v>75</v>
      </c>
      <c r="J30" s="7">
        <v>82</v>
      </c>
      <c r="K30" s="7">
        <v>87</v>
      </c>
      <c r="L30" s="7">
        <v>93</v>
      </c>
      <c r="M30" s="7">
        <v>84</v>
      </c>
      <c r="N30" s="7">
        <v>87</v>
      </c>
    </row>
    <row r="31" spans="2:14" ht="12">
      <c r="B31" s="1" t="s">
        <v>24</v>
      </c>
      <c r="C31" s="6">
        <f>139476*0.0005</f>
        <v>69.738</v>
      </c>
      <c r="D31" s="7">
        <v>73.305</v>
      </c>
      <c r="E31" s="6">
        <f>162553*0.0005</f>
        <v>81.2765</v>
      </c>
      <c r="F31" s="7">
        <v>93</v>
      </c>
      <c r="G31" s="7">
        <v>103</v>
      </c>
      <c r="H31" s="7">
        <v>125</v>
      </c>
      <c r="I31" s="7">
        <v>142</v>
      </c>
      <c r="J31" s="7">
        <v>154</v>
      </c>
      <c r="K31" s="7">
        <v>169</v>
      </c>
      <c r="L31" s="7">
        <v>190</v>
      </c>
      <c r="M31" s="7">
        <v>200</v>
      </c>
      <c r="N31" s="7">
        <v>227</v>
      </c>
    </row>
    <row r="32" spans="2:14" ht="12">
      <c r="B32" s="1" t="s">
        <v>25</v>
      </c>
      <c r="C32" s="6">
        <f>9489*0.0005</f>
        <v>4.7445</v>
      </c>
      <c r="D32" s="7">
        <v>7.175</v>
      </c>
      <c r="E32" s="6">
        <f>16692*0.0005</f>
        <v>8.346</v>
      </c>
      <c r="F32" s="7">
        <v>10</v>
      </c>
      <c r="G32" s="7">
        <v>12</v>
      </c>
      <c r="H32" s="7">
        <v>15</v>
      </c>
      <c r="I32" s="7">
        <v>18</v>
      </c>
      <c r="J32" s="7">
        <v>22</v>
      </c>
      <c r="K32" s="7">
        <v>24</v>
      </c>
      <c r="L32" s="7">
        <v>26</v>
      </c>
      <c r="M32" s="7">
        <v>27</v>
      </c>
      <c r="N32" s="7">
        <v>25</v>
      </c>
    </row>
    <row r="33" spans="3:14" ht="12">
      <c r="C33" s="6"/>
      <c r="D33" s="7"/>
      <c r="E33" s="6"/>
      <c r="F33" s="7"/>
      <c r="G33" s="7"/>
      <c r="H33" s="7"/>
      <c r="I33" s="7"/>
      <c r="J33" s="7"/>
      <c r="K33" s="7"/>
      <c r="L33" s="7"/>
      <c r="M33" s="7"/>
      <c r="N33" s="7"/>
    </row>
    <row r="34" spans="1:14" ht="12">
      <c r="A34" s="1" t="s">
        <v>26</v>
      </c>
      <c r="C34" s="6">
        <f aca="true" t="shared" si="4" ref="C34:N34">SUM(C35:C37)</f>
        <v>35.9955</v>
      </c>
      <c r="D34" s="6">
        <f t="shared" si="4"/>
        <v>40.255</v>
      </c>
      <c r="E34" s="6">
        <f t="shared" si="4"/>
        <v>45.677</v>
      </c>
      <c r="F34" s="6">
        <f t="shared" si="4"/>
        <v>50</v>
      </c>
      <c r="G34" s="6">
        <f t="shared" si="4"/>
        <v>55</v>
      </c>
      <c r="H34" s="6">
        <f t="shared" si="4"/>
        <v>61</v>
      </c>
      <c r="I34" s="6">
        <f t="shared" si="4"/>
        <v>66</v>
      </c>
      <c r="J34" s="6">
        <f t="shared" si="4"/>
        <v>69</v>
      </c>
      <c r="K34" s="6">
        <f t="shared" si="4"/>
        <v>74</v>
      </c>
      <c r="L34" s="6">
        <f t="shared" si="4"/>
        <v>79</v>
      </c>
      <c r="M34" s="6">
        <f t="shared" si="4"/>
        <v>80</v>
      </c>
      <c r="N34" s="6">
        <f t="shared" si="4"/>
        <v>85</v>
      </c>
    </row>
    <row r="35" spans="2:14" ht="12">
      <c r="B35" s="1" t="s">
        <v>27</v>
      </c>
      <c r="C35" s="6">
        <f>43930*0.0005</f>
        <v>21.965</v>
      </c>
      <c r="D35" s="7">
        <v>24.045</v>
      </c>
      <c r="E35" s="6">
        <f>51064*0.0005</f>
        <v>25.532</v>
      </c>
      <c r="F35" s="7">
        <v>29</v>
      </c>
      <c r="G35" s="7">
        <v>31</v>
      </c>
      <c r="H35" s="7">
        <v>34</v>
      </c>
      <c r="I35" s="7">
        <v>38</v>
      </c>
      <c r="J35" s="7">
        <v>40</v>
      </c>
      <c r="K35" s="7">
        <v>41</v>
      </c>
      <c r="L35" s="7">
        <v>46</v>
      </c>
      <c r="M35" s="7">
        <v>48</v>
      </c>
      <c r="N35" s="7">
        <v>52</v>
      </c>
    </row>
    <row r="36" spans="2:14" ht="12">
      <c r="B36" s="1" t="s">
        <v>28</v>
      </c>
      <c r="C36" s="6">
        <f>12981*0.0005</f>
        <v>6.4905</v>
      </c>
      <c r="D36" s="7">
        <v>6.965</v>
      </c>
      <c r="E36" s="6">
        <f>17142*0.0005</f>
        <v>8.571</v>
      </c>
      <c r="F36" s="7">
        <v>10</v>
      </c>
      <c r="G36" s="7">
        <v>10</v>
      </c>
      <c r="H36" s="7">
        <v>11</v>
      </c>
      <c r="I36" s="7">
        <v>10</v>
      </c>
      <c r="J36" s="7">
        <v>10</v>
      </c>
      <c r="K36" s="7">
        <v>11</v>
      </c>
      <c r="L36" s="7">
        <v>10</v>
      </c>
      <c r="M36" s="7">
        <v>10</v>
      </c>
      <c r="N36" s="7">
        <v>11</v>
      </c>
    </row>
    <row r="37" spans="2:14" ht="12">
      <c r="B37" s="1" t="s">
        <v>29</v>
      </c>
      <c r="C37" s="6">
        <f>15080*0.0005</f>
        <v>7.54</v>
      </c>
      <c r="D37" s="7">
        <v>9.245</v>
      </c>
      <c r="E37" s="6">
        <f>23148*0.0005</f>
        <v>11.574</v>
      </c>
      <c r="F37" s="7">
        <v>11</v>
      </c>
      <c r="G37" s="7">
        <v>14</v>
      </c>
      <c r="H37" s="7">
        <v>16</v>
      </c>
      <c r="I37" s="7">
        <v>18</v>
      </c>
      <c r="J37" s="7">
        <v>19</v>
      </c>
      <c r="K37" s="7">
        <v>22</v>
      </c>
      <c r="L37" s="7">
        <v>23</v>
      </c>
      <c r="M37" s="7">
        <v>22</v>
      </c>
      <c r="N37" s="7">
        <v>22</v>
      </c>
    </row>
    <row r="38" spans="3:14" ht="12">
      <c r="C38" s="6"/>
      <c r="D38" s="7"/>
      <c r="E38" s="6"/>
      <c r="F38" s="7"/>
      <c r="G38" s="7"/>
      <c r="H38" s="7"/>
      <c r="I38" s="7"/>
      <c r="J38" s="7"/>
      <c r="K38" s="7"/>
      <c r="L38" s="7"/>
      <c r="M38" s="7"/>
      <c r="N38" s="7"/>
    </row>
    <row r="39" spans="1:14" ht="12">
      <c r="A39" s="1" t="s">
        <v>30</v>
      </c>
      <c r="C39" s="6">
        <f aca="true" t="shared" si="5" ref="C39:K39">SUM(C40:C42)</f>
        <v>34.942499999999995</v>
      </c>
      <c r="D39" s="6">
        <f t="shared" si="5"/>
        <v>41.74</v>
      </c>
      <c r="E39" s="6">
        <f t="shared" si="5"/>
        <v>49.0965</v>
      </c>
      <c r="F39" s="6">
        <f t="shared" si="5"/>
        <v>53</v>
      </c>
      <c r="G39" s="6">
        <f t="shared" si="5"/>
        <v>62</v>
      </c>
      <c r="H39" s="6">
        <f t="shared" si="5"/>
        <v>82</v>
      </c>
      <c r="I39" s="6">
        <f t="shared" si="5"/>
        <v>90</v>
      </c>
      <c r="J39" s="6">
        <f t="shared" si="5"/>
        <v>99</v>
      </c>
      <c r="K39" s="6">
        <f t="shared" si="5"/>
        <v>105</v>
      </c>
      <c r="L39" s="6">
        <f>SUM(L40:L43)</f>
        <v>109</v>
      </c>
      <c r="M39" s="6">
        <f>SUM(M40:M43)</f>
        <v>108</v>
      </c>
      <c r="N39" s="6">
        <f>SUM(N40:N43)</f>
        <v>113</v>
      </c>
    </row>
    <row r="40" spans="2:14" ht="12">
      <c r="B40" s="1" t="s">
        <v>31</v>
      </c>
      <c r="C40" s="6">
        <f>39890*0.0005</f>
        <v>19.945</v>
      </c>
      <c r="D40" s="7">
        <v>22.705</v>
      </c>
      <c r="E40" s="6">
        <f>54090*0.0005</f>
        <v>27.045</v>
      </c>
      <c r="F40" s="7">
        <v>30</v>
      </c>
      <c r="G40" s="7">
        <v>33</v>
      </c>
      <c r="H40" s="7">
        <v>41</v>
      </c>
      <c r="I40" s="7">
        <v>42</v>
      </c>
      <c r="J40" s="7">
        <v>46</v>
      </c>
      <c r="K40" s="7">
        <v>47</v>
      </c>
      <c r="L40" s="7">
        <v>50</v>
      </c>
      <c r="M40" s="7">
        <v>51</v>
      </c>
      <c r="N40" s="7">
        <v>55</v>
      </c>
    </row>
    <row r="41" spans="2:14" ht="12">
      <c r="B41" s="1" t="s">
        <v>32</v>
      </c>
      <c r="C41" s="6">
        <f>5339*0.0005</f>
        <v>2.6695</v>
      </c>
      <c r="D41" s="7">
        <v>4.655</v>
      </c>
      <c r="E41" s="6">
        <f>10267*0.0005</f>
        <v>5.1335</v>
      </c>
      <c r="F41" s="7">
        <v>4</v>
      </c>
      <c r="G41" s="7">
        <v>5</v>
      </c>
      <c r="H41" s="7">
        <v>6</v>
      </c>
      <c r="I41" s="7">
        <v>6</v>
      </c>
      <c r="J41" s="7">
        <v>7</v>
      </c>
      <c r="K41" s="7">
        <v>8</v>
      </c>
      <c r="L41" s="7">
        <v>8</v>
      </c>
      <c r="M41" s="7">
        <v>8</v>
      </c>
      <c r="N41" s="7">
        <v>9</v>
      </c>
    </row>
    <row r="42" spans="2:14" ht="12">
      <c r="B42" s="1" t="s">
        <v>33</v>
      </c>
      <c r="C42" s="6">
        <f>24656*0.0005</f>
        <v>12.328</v>
      </c>
      <c r="D42" s="7">
        <v>14.38</v>
      </c>
      <c r="E42" s="6">
        <f>33836*0.0005</f>
        <v>16.918</v>
      </c>
      <c r="F42" s="7">
        <v>19</v>
      </c>
      <c r="G42" s="7">
        <v>24</v>
      </c>
      <c r="H42" s="7">
        <v>35</v>
      </c>
      <c r="I42" s="7">
        <v>42</v>
      </c>
      <c r="J42" s="7">
        <v>46</v>
      </c>
      <c r="K42" s="7">
        <v>50</v>
      </c>
      <c r="L42" s="7">
        <v>50</v>
      </c>
      <c r="M42" s="7">
        <v>48</v>
      </c>
      <c r="N42" s="7">
        <v>48</v>
      </c>
    </row>
    <row r="43" spans="2:14" ht="12">
      <c r="B43" s="8" t="s">
        <v>34</v>
      </c>
      <c r="C43" s="9" t="s">
        <v>35</v>
      </c>
      <c r="D43" s="9" t="s">
        <v>35</v>
      </c>
      <c r="E43" s="9" t="s">
        <v>35</v>
      </c>
      <c r="F43" s="9" t="s">
        <v>35</v>
      </c>
      <c r="G43" s="9" t="s">
        <v>35</v>
      </c>
      <c r="H43" s="9" t="s">
        <v>35</v>
      </c>
      <c r="I43" s="9" t="s">
        <v>35</v>
      </c>
      <c r="J43" s="9" t="s">
        <v>35</v>
      </c>
      <c r="K43" s="9" t="s">
        <v>35</v>
      </c>
      <c r="L43" s="7">
        <v>1</v>
      </c>
      <c r="M43" s="7">
        <v>1</v>
      </c>
      <c r="N43" s="7">
        <v>1</v>
      </c>
    </row>
    <row r="44" spans="3:14" ht="12">
      <c r="C44" s="6"/>
      <c r="D44" s="7"/>
      <c r="E44" s="6"/>
      <c r="F44" s="7"/>
      <c r="G44" s="7"/>
      <c r="H44" s="7"/>
      <c r="I44" s="7"/>
      <c r="J44" s="7"/>
      <c r="K44" s="7"/>
      <c r="L44" s="7"/>
      <c r="M44" s="7"/>
      <c r="N44" s="7"/>
    </row>
    <row r="45" spans="1:14" ht="12">
      <c r="A45" s="1" t="s">
        <v>36</v>
      </c>
      <c r="C45" s="6">
        <f aca="true" t="shared" si="6" ref="C45:N45">SUM(C46:C49)</f>
        <v>243.373</v>
      </c>
      <c r="D45" s="6">
        <f t="shared" si="6"/>
        <v>223.04000000000002</v>
      </c>
      <c r="E45" s="6">
        <f t="shared" si="6"/>
        <v>253.73899999999998</v>
      </c>
      <c r="F45" s="6">
        <f t="shared" si="6"/>
        <v>291</v>
      </c>
      <c r="G45" s="6">
        <f t="shared" si="6"/>
        <v>284</v>
      </c>
      <c r="H45" s="6">
        <f t="shared" si="6"/>
        <v>342</v>
      </c>
      <c r="I45" s="6">
        <f t="shared" si="6"/>
        <v>355</v>
      </c>
      <c r="J45" s="6">
        <f t="shared" si="6"/>
        <v>437</v>
      </c>
      <c r="K45" s="6">
        <f t="shared" si="6"/>
        <v>450</v>
      </c>
      <c r="L45" s="6">
        <f t="shared" si="6"/>
        <v>434</v>
      </c>
      <c r="M45" s="6">
        <f t="shared" si="6"/>
        <v>452</v>
      </c>
      <c r="N45" s="6">
        <f t="shared" si="6"/>
        <v>473</v>
      </c>
    </row>
    <row r="46" spans="2:14" ht="12">
      <c r="B46" s="1" t="s">
        <v>37</v>
      </c>
      <c r="C46" s="6">
        <f>255400*0.0005</f>
        <v>127.7</v>
      </c>
      <c r="D46" s="7">
        <v>132.425</v>
      </c>
      <c r="E46" s="6">
        <f>284945*0.0005</f>
        <v>142.4725</v>
      </c>
      <c r="F46" s="7">
        <v>161</v>
      </c>
      <c r="G46" s="7">
        <v>178</v>
      </c>
      <c r="H46" s="7">
        <v>199</v>
      </c>
      <c r="I46" s="7">
        <v>219</v>
      </c>
      <c r="J46" s="7">
        <v>243</v>
      </c>
      <c r="K46" s="7">
        <v>243</v>
      </c>
      <c r="L46" s="7">
        <v>250</v>
      </c>
      <c r="M46" s="7">
        <v>260</v>
      </c>
      <c r="N46" s="7">
        <v>264</v>
      </c>
    </row>
    <row r="47" spans="2:14" ht="12">
      <c r="B47" s="1" t="s">
        <v>38</v>
      </c>
      <c r="C47" s="6">
        <f>10555*0.0005</f>
        <v>5.2775</v>
      </c>
      <c r="D47" s="7">
        <v>5.34</v>
      </c>
      <c r="E47" s="6">
        <f>11086*0.0005</f>
        <v>5.543</v>
      </c>
      <c r="F47" s="7">
        <v>6</v>
      </c>
      <c r="G47" s="7">
        <v>6</v>
      </c>
      <c r="H47" s="7">
        <v>6</v>
      </c>
      <c r="I47" s="7">
        <v>6</v>
      </c>
      <c r="J47" s="7">
        <v>7</v>
      </c>
      <c r="K47" s="7">
        <v>9</v>
      </c>
      <c r="L47" s="7">
        <v>10</v>
      </c>
      <c r="M47" s="7">
        <v>10</v>
      </c>
      <c r="N47" s="7">
        <v>10</v>
      </c>
    </row>
    <row r="48" spans="2:14" ht="12">
      <c r="B48" s="1" t="s">
        <v>39</v>
      </c>
      <c r="C48" s="6">
        <f>34982*0.0005</f>
        <v>17.491</v>
      </c>
      <c r="D48" s="7">
        <v>15.105</v>
      </c>
      <c r="E48" s="6">
        <f>41234*0.0005</f>
        <v>20.617</v>
      </c>
      <c r="F48" s="7">
        <v>28</v>
      </c>
      <c r="G48" s="7">
        <v>27</v>
      </c>
      <c r="H48" s="7">
        <v>37</v>
      </c>
      <c r="I48" s="7">
        <v>42</v>
      </c>
      <c r="J48" s="7">
        <v>48</v>
      </c>
      <c r="K48" s="7">
        <v>57</v>
      </c>
      <c r="L48" s="7">
        <v>63</v>
      </c>
      <c r="M48" s="7">
        <v>67</v>
      </c>
      <c r="N48" s="7">
        <v>73</v>
      </c>
    </row>
    <row r="49" spans="2:14" ht="12">
      <c r="B49" s="1" t="s">
        <v>40</v>
      </c>
      <c r="C49" s="6">
        <f>185809*0.0005</f>
        <v>92.9045</v>
      </c>
      <c r="D49" s="7">
        <v>70.17</v>
      </c>
      <c r="E49" s="6">
        <f>170213*0.0005</f>
        <v>85.1065</v>
      </c>
      <c r="F49" s="7">
        <v>96</v>
      </c>
      <c r="G49" s="7">
        <v>73</v>
      </c>
      <c r="H49" s="7">
        <v>100</v>
      </c>
      <c r="I49" s="7">
        <v>88</v>
      </c>
      <c r="J49" s="7">
        <v>139</v>
      </c>
      <c r="K49" s="7">
        <v>141</v>
      </c>
      <c r="L49" s="7">
        <v>111</v>
      </c>
      <c r="M49" s="7">
        <v>115</v>
      </c>
      <c r="N49" s="7">
        <v>126</v>
      </c>
    </row>
    <row r="50" spans="3:14" ht="12">
      <c r="C50" s="6"/>
      <c r="E50" s="6"/>
      <c r="F50" s="7"/>
      <c r="G50" s="7"/>
      <c r="H50" s="7"/>
      <c r="I50" s="7"/>
      <c r="J50" s="7"/>
      <c r="K50" s="7"/>
      <c r="L50" s="7"/>
      <c r="M50" s="7"/>
      <c r="N50" s="7"/>
    </row>
    <row r="51" spans="1:14" ht="12">
      <c r="A51" s="1" t="s">
        <v>41</v>
      </c>
      <c r="C51" s="6">
        <f aca="true" t="shared" si="7" ref="C51:N51">SUM(C7+C12+C20+C28+C34+C39+C45)</f>
        <v>1070.188</v>
      </c>
      <c r="D51" s="6">
        <f t="shared" si="7"/>
        <v>1141.0449999999998</v>
      </c>
      <c r="E51" s="6">
        <f t="shared" si="7"/>
        <v>1290.607</v>
      </c>
      <c r="F51" s="6">
        <f t="shared" si="7"/>
        <v>1616</v>
      </c>
      <c r="G51" s="6">
        <f t="shared" si="7"/>
        <v>1846</v>
      </c>
      <c r="H51" s="6">
        <f t="shared" si="7"/>
        <v>2185</v>
      </c>
      <c r="I51" s="6">
        <f t="shared" si="7"/>
        <v>2499</v>
      </c>
      <c r="J51" s="6">
        <f t="shared" si="7"/>
        <v>2899</v>
      </c>
      <c r="K51" s="6">
        <f t="shared" si="7"/>
        <v>3301</v>
      </c>
      <c r="L51" s="6">
        <f t="shared" si="7"/>
        <v>3660</v>
      </c>
      <c r="M51" s="6">
        <f t="shared" si="7"/>
        <v>3813</v>
      </c>
      <c r="N51" s="6">
        <f t="shared" si="7"/>
        <v>4157</v>
      </c>
    </row>
    <row r="52" spans="1:14" ht="12">
      <c r="A52" s="1" t="s">
        <v>42</v>
      </c>
      <c r="C52" s="6">
        <v>1070</v>
      </c>
      <c r="D52" s="7">
        <v>1141</v>
      </c>
      <c r="E52" s="6">
        <v>1291</v>
      </c>
      <c r="F52" s="7">
        <v>1618</v>
      </c>
      <c r="G52" s="7">
        <v>1845</v>
      </c>
      <c r="H52" s="7">
        <v>2186</v>
      </c>
      <c r="I52" s="7">
        <v>2499</v>
      </c>
      <c r="J52" s="7">
        <v>2899</v>
      </c>
      <c r="K52" s="7">
        <v>3301</v>
      </c>
      <c r="L52" s="7">
        <v>3660</v>
      </c>
      <c r="M52" s="7">
        <v>3813</v>
      </c>
      <c r="N52" s="7">
        <v>4157</v>
      </c>
    </row>
    <row r="53" spans="3:14" ht="12">
      <c r="C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2">
      <c r="A54" s="2"/>
      <c r="B54" s="2"/>
      <c r="C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2">
      <c r="A55" s="8" t="s">
        <v>43</v>
      </c>
      <c r="C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3:14" ht="12">
      <c r="C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">
      <c r="A57" s="1" t="s">
        <v>44</v>
      </c>
      <c r="C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>
      <c r="A58" s="8" t="s">
        <v>45</v>
      </c>
      <c r="B58" s="2"/>
      <c r="C58" s="6"/>
      <c r="E58" s="6"/>
      <c r="F58" s="7"/>
      <c r="G58" s="7"/>
      <c r="H58" s="7"/>
      <c r="I58" s="7"/>
      <c r="J58" s="7"/>
      <c r="K58" s="7"/>
      <c r="L58" s="7"/>
      <c r="M58" s="7"/>
      <c r="N58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2006-11-02T11:44:29Z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