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465" activeTab="0"/>
  </bookViews>
  <sheets>
    <sheet name="TBL_12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<sst xmlns="http://schemas.openxmlformats.org/spreadsheetml/2006/main" count="48" uniqueCount="47">
  <si>
    <t>Table 127--Pork production, by region and province, China, 1979-90—u1</t>
  </si>
  <si>
    <t>Region/province</t>
  </si>
  <si>
    <t xml:space="preserve">     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</si>
  <si>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</si>
  <si>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</si>
  <si>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</si>
  <si>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</si>
  <si>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</si>
  <si>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</si>
  <si>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</si>
  <si>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</si>
  <si>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</si>
  <si>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</si>
  <si>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</si>
  <si>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</si>
  <si>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</si>
  <si>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</si>
  <si>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</si>
  <si>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</si>
  <si>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</si>
  <si>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</si>
  <si>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</si>
  <si>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</si>
  <si>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</si>
  <si>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</si>
  <si>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</si>
  <si>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</si>
  <si>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</si>
  <si>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</si>
  <si>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</si>
  <si>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</si>
  <si>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</si>
  <si>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</si>
  <si>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</si>
  <si>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</si>
  <si>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</si>
  <si>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</si>
  <si>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</si>
  <si>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</si>
  <si>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</si>
  <si>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</si>
  <si>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</si>
  <si>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</si>
  <si>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Pork output refers to dressed carcass weight, excluding head, hooves and offal.</t>
  </si>
  <si>
    <t xml:space="preserve">    —u2˜ Hainan data available beginning in 1981 -- prior years included in Guangdong.</t>
  </si>
  <si>
    <t xml:space="preserve">    Sources:  (2, p. 119), (3, p. 49), (4, p. 56), (6, p. 114), (7, p. 174), (8, p. 209), (9, p. 254), (10, p. 278), (11, p. 311), (34, p. 378)</t>
  </si>
  <si>
    <t>and (35, p. 361).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</si>
</sst>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>
      <c r="A3" s="1" t="s">
        <v>1</v>
      </c>
      <c r="B3" s="3"/>
      <c r="C3" s="3">
        <v>1979</v>
      </c>
      <c r="D3" s="3">
        <v>1980</v>
      </c>
      <c r="E3" s="3">
        <v>1981</v>
      </c>
      <c r="F3" s="4">
        <v>1982</v>
      </c>
      <c r="G3" s="4">
        <v>1983</v>
      </c>
      <c r="H3" s="4">
        <v>1984</v>
      </c>
      <c r="I3" s="4">
        <v>1985</v>
      </c>
      <c r="J3" s="4">
        <v>1986</v>
      </c>
      <c r="K3" s="4">
        <v>1987</v>
      </c>
      <c r="L3" s="4">
        <v>1988</v>
      </c>
      <c r="M3" s="4">
        <v>1989</v>
      </c>
      <c r="N3" s="4">
        <v>1990</v>
      </c>
    </row>
    <row r="4" spans="1:14" ht="12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</row>
    <row r="5" ht="12">
      <c r="H5" s="5" t="s">
        <v>2</v>
      </c>
    </row>
    <row r="7" spans="1:14" ht="12">
      <c r="A7" s="5" t="s">
        <v>3</v>
      </c>
      <c r="C7" s="6">
        <f aca="true" t="shared" si="0" ref="C7:N7">SUM(C8:C10)</f>
        <v>879.7245000000001</v>
      </c>
      <c r="D7" s="6">
        <f t="shared" si="0"/>
        <v>1006.9649999999999</v>
      </c>
      <c r="E7" s="6">
        <f t="shared" si="0"/>
        <v>1030.9065</v>
      </c>
      <c r="F7" s="6">
        <f t="shared" si="0"/>
        <v>1097</v>
      </c>
      <c r="G7" s="6">
        <f t="shared" si="0"/>
        <v>1078</v>
      </c>
      <c r="H7" s="6">
        <f t="shared" si="0"/>
        <v>1084</v>
      </c>
      <c r="I7" s="6">
        <f t="shared" si="0"/>
        <v>1139</v>
      </c>
      <c r="J7" s="6">
        <f t="shared" si="0"/>
        <v>1198</v>
      </c>
      <c r="K7" s="6">
        <f t="shared" si="0"/>
        <v>1149</v>
      </c>
      <c r="L7" s="6">
        <f t="shared" si="0"/>
        <v>1258</v>
      </c>
      <c r="M7" s="6">
        <f t="shared" si="0"/>
        <v>1328</v>
      </c>
      <c r="N7" s="6">
        <f t="shared" si="0"/>
        <v>1525</v>
      </c>
    </row>
    <row r="8" spans="2:14" ht="12">
      <c r="B8" s="5" t="s">
        <v>4</v>
      </c>
      <c r="C8" s="6">
        <f>697781*0.0005</f>
        <v>348.89050000000003</v>
      </c>
      <c r="D8" s="6">
        <f>696075*0.0005</f>
        <v>348.0375</v>
      </c>
      <c r="E8" s="6">
        <f>613381*0.0005</f>
        <v>306.6905</v>
      </c>
      <c r="F8" s="7">
        <v>276</v>
      </c>
      <c r="G8" s="7">
        <v>286</v>
      </c>
      <c r="H8" s="7">
        <v>291</v>
      </c>
      <c r="I8" s="7">
        <v>297</v>
      </c>
      <c r="J8" s="7">
        <v>311</v>
      </c>
      <c r="K8" s="7">
        <v>291</v>
      </c>
      <c r="L8" s="7">
        <v>286</v>
      </c>
      <c r="M8" s="7">
        <v>296</v>
      </c>
      <c r="N8" s="7">
        <v>395</v>
      </c>
    </row>
    <row r="9" spans="2:14" ht="12">
      <c r="B9" s="5" t="s">
        <v>5</v>
      </c>
      <c r="C9" s="6">
        <f>665825*0.0005</f>
        <v>332.9125</v>
      </c>
      <c r="D9" s="6">
        <f>845168*0.0005</f>
        <v>422.584</v>
      </c>
      <c r="E9" s="6">
        <f>968680*0.0005</f>
        <v>484.34000000000003</v>
      </c>
      <c r="F9" s="7">
        <v>551</v>
      </c>
      <c r="G9" s="7">
        <v>540</v>
      </c>
      <c r="H9" s="7">
        <v>540</v>
      </c>
      <c r="I9" s="7">
        <v>557</v>
      </c>
      <c r="J9" s="7">
        <v>570</v>
      </c>
      <c r="K9" s="7">
        <v>550</v>
      </c>
      <c r="L9" s="7">
        <v>655</v>
      </c>
      <c r="M9" s="7">
        <v>683</v>
      </c>
      <c r="N9" s="7">
        <v>741</v>
      </c>
    </row>
    <row r="10" spans="2:14" ht="12">
      <c r="B10" s="5" t="s">
        <v>6</v>
      </c>
      <c r="C10" s="6">
        <f>395843*0.0005</f>
        <v>197.9215</v>
      </c>
      <c r="D10" s="6">
        <f>472687*0.0005</f>
        <v>236.3435</v>
      </c>
      <c r="E10" s="6">
        <f>479752*0.0005</f>
        <v>239.876</v>
      </c>
      <c r="F10" s="7">
        <v>270</v>
      </c>
      <c r="G10" s="7">
        <v>252</v>
      </c>
      <c r="H10" s="7">
        <v>253</v>
      </c>
      <c r="I10" s="7">
        <v>285</v>
      </c>
      <c r="J10" s="7">
        <v>317</v>
      </c>
      <c r="K10" s="7">
        <v>308</v>
      </c>
      <c r="L10" s="7">
        <v>317</v>
      </c>
      <c r="M10" s="7">
        <v>349</v>
      </c>
      <c r="N10" s="7">
        <v>389</v>
      </c>
    </row>
    <row r="11" spans="3:14" ht="12"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</row>
    <row r="12" spans="1:14" ht="12">
      <c r="A12" s="5" t="s">
        <v>7</v>
      </c>
      <c r="C12" s="6">
        <f aca="true" t="shared" si="1" ref="C12:N12">SUM(C13:C18)</f>
        <v>1827.9699999999998</v>
      </c>
      <c r="D12" s="6">
        <f t="shared" si="1"/>
        <v>2110.6949999999997</v>
      </c>
      <c r="E12" s="6">
        <f t="shared" si="1"/>
        <v>2185.9224999999997</v>
      </c>
      <c r="F12" s="6">
        <f t="shared" si="1"/>
        <v>2190</v>
      </c>
      <c r="G12" s="6">
        <f t="shared" si="1"/>
        <v>2131</v>
      </c>
      <c r="H12" s="6">
        <f t="shared" si="1"/>
        <v>2418</v>
      </c>
      <c r="I12" s="6">
        <f t="shared" si="1"/>
        <v>2838</v>
      </c>
      <c r="J12" s="6">
        <f t="shared" si="1"/>
        <v>3068</v>
      </c>
      <c r="K12" s="6">
        <f t="shared" si="1"/>
        <v>2993</v>
      </c>
      <c r="L12" s="6">
        <f t="shared" si="1"/>
        <v>3399</v>
      </c>
      <c r="M12" s="6">
        <f t="shared" si="1"/>
        <v>3759</v>
      </c>
      <c r="N12" s="6">
        <f t="shared" si="1"/>
        <v>4089</v>
      </c>
    </row>
    <row r="13" spans="2:14" ht="12">
      <c r="B13" s="5" t="s">
        <v>8</v>
      </c>
      <c r="C13" s="6">
        <f>1413920*0.0005</f>
        <v>706.96</v>
      </c>
      <c r="D13" s="6">
        <f>1723030*0.0005</f>
        <v>861.515</v>
      </c>
      <c r="E13" s="6">
        <f>1827580*0.0005</f>
        <v>913.79</v>
      </c>
      <c r="F13" s="7">
        <v>895</v>
      </c>
      <c r="G13" s="7">
        <v>866</v>
      </c>
      <c r="H13" s="7">
        <v>967</v>
      </c>
      <c r="I13" s="7">
        <v>1096</v>
      </c>
      <c r="J13" s="7">
        <v>1201</v>
      </c>
      <c r="K13" s="7">
        <v>1115</v>
      </c>
      <c r="L13" s="7">
        <v>1286</v>
      </c>
      <c r="M13" s="7">
        <v>1456</v>
      </c>
      <c r="N13" s="7">
        <v>1537</v>
      </c>
    </row>
    <row r="14" spans="2:14" ht="12">
      <c r="B14" s="5" t="s">
        <v>9</v>
      </c>
      <c r="C14" s="6">
        <f>654182*0.0005</f>
        <v>327.091</v>
      </c>
      <c r="D14" s="6">
        <f>807978*0.0005</f>
        <v>403.98900000000003</v>
      </c>
      <c r="E14" s="6">
        <f>904490*0.0005</f>
        <v>452.245</v>
      </c>
      <c r="F14" s="7">
        <v>460</v>
      </c>
      <c r="G14" s="7">
        <v>472</v>
      </c>
      <c r="H14" s="7">
        <v>594</v>
      </c>
      <c r="I14" s="7">
        <v>763</v>
      </c>
      <c r="J14" s="7">
        <v>849</v>
      </c>
      <c r="K14" s="7">
        <v>865</v>
      </c>
      <c r="L14" s="7">
        <v>982</v>
      </c>
      <c r="M14" s="7">
        <v>1003</v>
      </c>
      <c r="N14" s="7">
        <v>1077</v>
      </c>
    </row>
    <row r="15" spans="2:14" ht="12">
      <c r="B15" s="5" t="s">
        <v>10</v>
      </c>
      <c r="C15" s="6">
        <f>223854*0.0005</f>
        <v>111.927</v>
      </c>
      <c r="D15" s="6">
        <f>258273*0.0005</f>
        <v>129.1365</v>
      </c>
      <c r="E15" s="6">
        <f>260341*0.0005</f>
        <v>130.1705</v>
      </c>
      <c r="F15" s="7">
        <v>136</v>
      </c>
      <c r="G15" s="7">
        <v>147</v>
      </c>
      <c r="H15" s="7">
        <v>130</v>
      </c>
      <c r="I15" s="7">
        <v>132</v>
      </c>
      <c r="J15" s="7">
        <v>126</v>
      </c>
      <c r="K15" s="7">
        <v>123</v>
      </c>
      <c r="L15" s="7">
        <v>135</v>
      </c>
      <c r="M15" s="7">
        <v>156</v>
      </c>
      <c r="N15" s="7">
        <v>186</v>
      </c>
    </row>
    <row r="16" spans="2:14" ht="12">
      <c r="B16" s="5" t="s">
        <v>11</v>
      </c>
      <c r="C16" s="6">
        <f>104640*0.0005</f>
        <v>52.32</v>
      </c>
      <c r="D16" s="6">
        <f>119500*0.0005</f>
        <v>59.75</v>
      </c>
      <c r="E16" s="6">
        <f>112850*0.0005</f>
        <v>56.425000000000004</v>
      </c>
      <c r="F16" s="7">
        <v>53</v>
      </c>
      <c r="G16" s="7">
        <v>49</v>
      </c>
      <c r="H16" s="7">
        <v>55</v>
      </c>
      <c r="I16" s="7">
        <v>59</v>
      </c>
      <c r="J16" s="7">
        <v>62</v>
      </c>
      <c r="K16" s="7">
        <v>57</v>
      </c>
      <c r="L16" s="7">
        <v>60</v>
      </c>
      <c r="M16" s="7">
        <v>81</v>
      </c>
      <c r="N16" s="7">
        <v>89</v>
      </c>
    </row>
    <row r="17" spans="2:14" ht="12">
      <c r="B17" s="5" t="s">
        <v>12</v>
      </c>
      <c r="C17" s="6">
        <f>1000399*0.0005</f>
        <v>500.1995</v>
      </c>
      <c r="D17" s="6">
        <f>988830*0.0005</f>
        <v>494.415</v>
      </c>
      <c r="E17" s="6">
        <f>885500*0.0005</f>
        <v>442.75</v>
      </c>
      <c r="F17" s="7">
        <v>476</v>
      </c>
      <c r="G17" s="7">
        <v>437</v>
      </c>
      <c r="H17" s="7">
        <v>496</v>
      </c>
      <c r="I17" s="7">
        <v>611</v>
      </c>
      <c r="J17" s="7">
        <v>650</v>
      </c>
      <c r="K17" s="7">
        <v>664</v>
      </c>
      <c r="L17" s="7">
        <v>769</v>
      </c>
      <c r="M17" s="7">
        <v>881</v>
      </c>
      <c r="N17" s="7">
        <v>975</v>
      </c>
    </row>
    <row r="18" spans="2:14" ht="12">
      <c r="B18" s="5" t="s">
        <v>13</v>
      </c>
      <c r="C18" s="6">
        <f>258945*0.0005</f>
        <v>129.4725</v>
      </c>
      <c r="D18" s="6">
        <f>323779*0.0005</f>
        <v>161.8895</v>
      </c>
      <c r="E18" s="6">
        <f>381084*0.0005</f>
        <v>190.542</v>
      </c>
      <c r="F18" s="7">
        <v>170</v>
      </c>
      <c r="G18" s="7">
        <v>160</v>
      </c>
      <c r="H18" s="7">
        <v>176</v>
      </c>
      <c r="I18" s="7">
        <v>177</v>
      </c>
      <c r="J18" s="7">
        <v>180</v>
      </c>
      <c r="K18" s="7">
        <v>169</v>
      </c>
      <c r="L18" s="7">
        <v>167</v>
      </c>
      <c r="M18" s="7">
        <v>182</v>
      </c>
      <c r="N18" s="7">
        <v>225</v>
      </c>
    </row>
    <row r="19" spans="3:14" ht="12"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5" t="s">
        <v>14</v>
      </c>
      <c r="C20" s="6">
        <f aca="true" t="shared" si="2" ref="C20:N20">SUM(C21:C26)</f>
        <v>482.76400000000007</v>
      </c>
      <c r="D20" s="6">
        <f t="shared" si="2"/>
        <v>528.879</v>
      </c>
      <c r="E20" s="6">
        <f t="shared" si="2"/>
        <v>582.5665000000001</v>
      </c>
      <c r="F20" s="6">
        <f t="shared" si="2"/>
        <v>587</v>
      </c>
      <c r="G20" s="6">
        <f t="shared" si="2"/>
        <v>593</v>
      </c>
      <c r="H20" s="6">
        <f t="shared" si="2"/>
        <v>633</v>
      </c>
      <c r="I20" s="6">
        <f t="shared" si="2"/>
        <v>782</v>
      </c>
      <c r="J20" s="6">
        <f t="shared" si="2"/>
        <v>875</v>
      </c>
      <c r="K20" s="6">
        <f t="shared" si="2"/>
        <v>891</v>
      </c>
      <c r="L20" s="6">
        <f t="shared" si="2"/>
        <v>939</v>
      </c>
      <c r="M20" s="6">
        <f t="shared" si="2"/>
        <v>1023</v>
      </c>
      <c r="N20" s="6">
        <f t="shared" si="2"/>
        <v>1115</v>
      </c>
    </row>
    <row r="21" spans="2:14" ht="12">
      <c r="B21" s="5" t="s">
        <v>15</v>
      </c>
      <c r="C21" s="6">
        <f>378119*0.0005</f>
        <v>189.0595</v>
      </c>
      <c r="D21" s="6">
        <f>446350*0.0005</f>
        <v>223.175</v>
      </c>
      <c r="E21" s="6">
        <f>493866*0.0005</f>
        <v>246.933</v>
      </c>
      <c r="F21" s="7">
        <v>222</v>
      </c>
      <c r="G21" s="7">
        <v>222</v>
      </c>
      <c r="H21" s="7">
        <v>225</v>
      </c>
      <c r="I21" s="7">
        <v>273</v>
      </c>
      <c r="J21" s="7">
        <v>298</v>
      </c>
      <c r="K21" s="7">
        <v>291</v>
      </c>
      <c r="L21" s="7">
        <v>315</v>
      </c>
      <c r="M21" s="7">
        <v>357</v>
      </c>
      <c r="N21" s="7">
        <v>391</v>
      </c>
    </row>
    <row r="22" spans="2:14" ht="12">
      <c r="B22" s="5" t="s">
        <v>16</v>
      </c>
      <c r="C22" s="6">
        <f>226472*0.0005</f>
        <v>113.236</v>
      </c>
      <c r="D22" s="6">
        <f>245270*0.0005</f>
        <v>122.635</v>
      </c>
      <c r="E22" s="6">
        <f>246170*0.0005</f>
        <v>123.08500000000001</v>
      </c>
      <c r="F22" s="7">
        <v>135</v>
      </c>
      <c r="G22" s="7">
        <v>128</v>
      </c>
      <c r="H22" s="7">
        <v>150</v>
      </c>
      <c r="I22" s="7">
        <v>208</v>
      </c>
      <c r="J22" s="7">
        <v>248</v>
      </c>
      <c r="K22" s="7">
        <v>251</v>
      </c>
      <c r="L22" s="7">
        <v>264</v>
      </c>
      <c r="M22" s="7">
        <v>279</v>
      </c>
      <c r="N22" s="7">
        <v>302</v>
      </c>
    </row>
    <row r="23" spans="2:14" ht="12">
      <c r="B23" s="5" t="s">
        <v>17</v>
      </c>
      <c r="C23" s="6">
        <f>230831*0.0005</f>
        <v>115.41550000000001</v>
      </c>
      <c r="D23" s="6">
        <f>231310*0.0005</f>
        <v>115.655</v>
      </c>
      <c r="E23" s="6">
        <f>287104*0.0005</f>
        <v>143.552</v>
      </c>
      <c r="F23" s="7">
        <v>162</v>
      </c>
      <c r="G23" s="7">
        <v>173</v>
      </c>
      <c r="H23" s="7">
        <v>183</v>
      </c>
      <c r="I23" s="7">
        <v>218</v>
      </c>
      <c r="J23" s="7">
        <v>236</v>
      </c>
      <c r="K23" s="7">
        <v>241</v>
      </c>
      <c r="L23" s="7">
        <v>252</v>
      </c>
      <c r="M23" s="7">
        <v>269</v>
      </c>
      <c r="N23" s="7">
        <v>288</v>
      </c>
    </row>
    <row r="24" spans="2:14" ht="12">
      <c r="B24" s="5" t="s">
        <v>18</v>
      </c>
      <c r="C24" s="6">
        <f>24359*0.0005</f>
        <v>12.1795</v>
      </c>
      <c r="D24" s="6">
        <f>29713*0.0005</f>
        <v>14.8565</v>
      </c>
      <c r="E24" s="6">
        <f>30778*0.0005</f>
        <v>15.389000000000001</v>
      </c>
      <c r="F24" s="7">
        <v>17</v>
      </c>
      <c r="G24" s="7">
        <v>17</v>
      </c>
      <c r="H24" s="7">
        <v>19</v>
      </c>
      <c r="I24" s="7">
        <v>24</v>
      </c>
      <c r="J24" s="7">
        <v>28</v>
      </c>
      <c r="K24" s="7">
        <v>31</v>
      </c>
      <c r="L24" s="7">
        <v>34</v>
      </c>
      <c r="M24" s="7">
        <v>37</v>
      </c>
      <c r="N24" s="7">
        <v>41</v>
      </c>
    </row>
    <row r="25" spans="2:14" ht="12">
      <c r="B25" s="5" t="s">
        <v>19</v>
      </c>
      <c r="C25" s="6">
        <f>63345*0.0005</f>
        <v>31.6725</v>
      </c>
      <c r="D25" s="6">
        <f>65845*0.0005</f>
        <v>32.9225</v>
      </c>
      <c r="E25" s="6">
        <f>66035*0.0005</f>
        <v>33.0175</v>
      </c>
      <c r="F25" s="7">
        <v>29</v>
      </c>
      <c r="G25" s="7">
        <v>31</v>
      </c>
      <c r="H25" s="7">
        <v>32</v>
      </c>
      <c r="I25" s="7">
        <v>31</v>
      </c>
      <c r="J25" s="7">
        <v>33</v>
      </c>
      <c r="K25" s="7">
        <v>37</v>
      </c>
      <c r="L25" s="7">
        <v>36</v>
      </c>
      <c r="M25" s="7">
        <v>41</v>
      </c>
      <c r="N25" s="7">
        <v>49</v>
      </c>
    </row>
    <row r="26" spans="2:14" ht="12">
      <c r="B26" s="5" t="s">
        <v>20</v>
      </c>
      <c r="C26" s="6">
        <f>42402*0.0005</f>
        <v>21.201</v>
      </c>
      <c r="D26" s="6">
        <f>39270*0.0005</f>
        <v>19.635</v>
      </c>
      <c r="E26" s="6">
        <f>41180*0.0005</f>
        <v>20.59</v>
      </c>
      <c r="F26" s="7">
        <v>22</v>
      </c>
      <c r="G26" s="7">
        <v>22</v>
      </c>
      <c r="H26" s="7">
        <v>24</v>
      </c>
      <c r="I26" s="7">
        <v>28</v>
      </c>
      <c r="J26" s="7">
        <v>32</v>
      </c>
      <c r="K26" s="7">
        <v>40</v>
      </c>
      <c r="L26" s="7">
        <v>38</v>
      </c>
      <c r="M26" s="7">
        <v>40</v>
      </c>
      <c r="N26" s="7">
        <v>44</v>
      </c>
    </row>
    <row r="27" spans="3:14" ht="12"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</row>
    <row r="28" spans="1:14" ht="12">
      <c r="A28" s="5" t="s">
        <v>21</v>
      </c>
      <c r="C28" s="6">
        <f aca="true" t="shared" si="3" ref="C28:N28">SUM(C29:C32)</f>
        <v>2154.1355</v>
      </c>
      <c r="D28" s="6">
        <f t="shared" si="3"/>
        <v>2383.4555</v>
      </c>
      <c r="E28" s="6">
        <f t="shared" si="3"/>
        <v>2279.1925</v>
      </c>
      <c r="F28" s="6">
        <f t="shared" si="3"/>
        <v>2603</v>
      </c>
      <c r="G28" s="6">
        <f t="shared" si="3"/>
        <v>2516</v>
      </c>
      <c r="H28" s="6">
        <f t="shared" si="3"/>
        <v>2613</v>
      </c>
      <c r="I28" s="6">
        <f t="shared" si="3"/>
        <v>2957</v>
      </c>
      <c r="J28" s="6">
        <f t="shared" si="3"/>
        <v>3047</v>
      </c>
      <c r="K28" s="6">
        <f t="shared" si="3"/>
        <v>2922</v>
      </c>
      <c r="L28" s="6">
        <f t="shared" si="3"/>
        <v>3170</v>
      </c>
      <c r="M28" s="6">
        <f t="shared" si="3"/>
        <v>3240</v>
      </c>
      <c r="N28" s="6">
        <f t="shared" si="3"/>
        <v>3414</v>
      </c>
    </row>
    <row r="29" spans="2:14" ht="12">
      <c r="B29" s="5" t="s">
        <v>22</v>
      </c>
      <c r="C29" s="6">
        <f>1119096*0.0005</f>
        <v>559.548</v>
      </c>
      <c r="D29" s="6">
        <f>1375238*0.0005</f>
        <v>687.619</v>
      </c>
      <c r="E29" s="6">
        <f>1240056*0.0005</f>
        <v>620.028</v>
      </c>
      <c r="F29" s="7">
        <v>662</v>
      </c>
      <c r="G29" s="7">
        <v>676</v>
      </c>
      <c r="H29" s="7">
        <v>678</v>
      </c>
      <c r="I29" s="7">
        <v>756</v>
      </c>
      <c r="J29" s="7">
        <v>800</v>
      </c>
      <c r="K29" s="7">
        <v>750</v>
      </c>
      <c r="L29" s="7">
        <v>798</v>
      </c>
      <c r="M29" s="7">
        <v>810</v>
      </c>
      <c r="N29" s="7">
        <v>841</v>
      </c>
    </row>
    <row r="30" spans="2:14" ht="12">
      <c r="B30" s="5" t="s">
        <v>23</v>
      </c>
      <c r="C30" s="6">
        <f>1839890*0.0005</f>
        <v>919.945</v>
      </c>
      <c r="D30" s="6">
        <f>2075412*0.0005</f>
        <v>1037.7060000000001</v>
      </c>
      <c r="E30" s="6">
        <f>2062627*0.0005</f>
        <v>1031.3135</v>
      </c>
      <c r="F30" s="7">
        <v>1221</v>
      </c>
      <c r="G30" s="7">
        <v>1149</v>
      </c>
      <c r="H30" s="7">
        <v>1211</v>
      </c>
      <c r="I30" s="7">
        <v>1363</v>
      </c>
      <c r="J30" s="7">
        <v>1358</v>
      </c>
      <c r="K30" s="7">
        <v>1294</v>
      </c>
      <c r="L30" s="7">
        <v>1420</v>
      </c>
      <c r="M30" s="7">
        <v>1430</v>
      </c>
      <c r="N30" s="7">
        <v>1492</v>
      </c>
    </row>
    <row r="31" spans="2:14" ht="12">
      <c r="B31" s="5" t="s">
        <v>24</v>
      </c>
      <c r="C31" s="6">
        <f>383760*0.0005</f>
        <v>191.88</v>
      </c>
      <c r="D31" s="6">
        <f>327671*0.0005</f>
        <v>163.8355</v>
      </c>
      <c r="E31" s="6">
        <f>337800*0.0005</f>
        <v>168.9</v>
      </c>
      <c r="F31" s="7">
        <v>203</v>
      </c>
      <c r="G31" s="7">
        <v>195</v>
      </c>
      <c r="H31" s="7">
        <v>178</v>
      </c>
      <c r="I31" s="7">
        <v>169</v>
      </c>
      <c r="J31" s="7">
        <v>179</v>
      </c>
      <c r="K31" s="7">
        <v>186</v>
      </c>
      <c r="L31" s="7">
        <v>178</v>
      </c>
      <c r="M31" s="7">
        <v>202</v>
      </c>
      <c r="N31" s="7">
        <v>233</v>
      </c>
    </row>
    <row r="32" spans="2:14" ht="12">
      <c r="B32" s="5" t="s">
        <v>25</v>
      </c>
      <c r="C32" s="6">
        <f>965525*0.0005</f>
        <v>482.7625</v>
      </c>
      <c r="D32" s="6">
        <f>988590*0.0005</f>
        <v>494.295</v>
      </c>
      <c r="E32" s="6">
        <f>917902*0.0005</f>
        <v>458.951</v>
      </c>
      <c r="F32" s="7">
        <v>517</v>
      </c>
      <c r="G32" s="7">
        <v>496</v>
      </c>
      <c r="H32" s="7">
        <v>546</v>
      </c>
      <c r="I32" s="7">
        <v>669</v>
      </c>
      <c r="J32" s="7">
        <v>710</v>
      </c>
      <c r="K32" s="7">
        <v>692</v>
      </c>
      <c r="L32" s="7">
        <v>774</v>
      </c>
      <c r="M32" s="7">
        <v>798</v>
      </c>
      <c r="N32" s="7">
        <v>848</v>
      </c>
    </row>
    <row r="33" spans="3:14" ht="12"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12">
      <c r="A34" s="5" t="s">
        <v>26</v>
      </c>
      <c r="C34" s="6">
        <f aca="true" t="shared" si="4" ref="C34:N34">SUM(C35:C37)</f>
        <v>1581.8805</v>
      </c>
      <c r="D34" s="6">
        <f t="shared" si="4"/>
        <v>1817.1905000000002</v>
      </c>
      <c r="E34" s="6">
        <f t="shared" si="4"/>
        <v>1908.7990000000002</v>
      </c>
      <c r="F34" s="6">
        <f t="shared" si="4"/>
        <v>2002</v>
      </c>
      <c r="G34" s="6">
        <f t="shared" si="4"/>
        <v>2079</v>
      </c>
      <c r="H34" s="6">
        <f t="shared" si="4"/>
        <v>2477</v>
      </c>
      <c r="I34" s="6">
        <f t="shared" si="4"/>
        <v>2939</v>
      </c>
      <c r="J34" s="6">
        <f t="shared" si="4"/>
        <v>3360</v>
      </c>
      <c r="K34" s="6">
        <f t="shared" si="4"/>
        <v>3530</v>
      </c>
      <c r="L34" s="6">
        <f t="shared" si="4"/>
        <v>3875</v>
      </c>
      <c r="M34" s="6">
        <f t="shared" si="4"/>
        <v>4030</v>
      </c>
      <c r="N34" s="6">
        <f t="shared" si="4"/>
        <v>4240</v>
      </c>
    </row>
    <row r="35" spans="2:14" ht="12">
      <c r="B35" s="5" t="s">
        <v>27</v>
      </c>
      <c r="C35" s="6">
        <f>1038600*0.0005</f>
        <v>519.3</v>
      </c>
      <c r="D35" s="6">
        <f>1082480*0.0005</f>
        <v>541.24</v>
      </c>
      <c r="E35" s="6">
        <f>1057760*0.0005</f>
        <v>528.88</v>
      </c>
      <c r="F35" s="7">
        <v>592</v>
      </c>
      <c r="G35" s="7">
        <v>618</v>
      </c>
      <c r="H35" s="7">
        <v>729</v>
      </c>
      <c r="I35" s="7">
        <v>967</v>
      </c>
      <c r="J35" s="7">
        <v>1089</v>
      </c>
      <c r="K35" s="7">
        <v>1131</v>
      </c>
      <c r="L35" s="7">
        <v>1217</v>
      </c>
      <c r="M35" s="7">
        <v>1295</v>
      </c>
      <c r="N35" s="7">
        <v>1351</v>
      </c>
    </row>
    <row r="36" spans="2:14" ht="12">
      <c r="B36" s="5" t="s">
        <v>28</v>
      </c>
      <c r="C36" s="6">
        <f>1536840*0.0005</f>
        <v>768.4200000000001</v>
      </c>
      <c r="D36" s="6">
        <f>1827400*0.0005</f>
        <v>913.7</v>
      </c>
      <c r="E36" s="6">
        <f>1974130*0.0005</f>
        <v>987.065</v>
      </c>
      <c r="F36" s="7">
        <v>987</v>
      </c>
      <c r="G36" s="7">
        <v>1036</v>
      </c>
      <c r="H36" s="7">
        <v>1240</v>
      </c>
      <c r="I36" s="7">
        <v>1375</v>
      </c>
      <c r="J36" s="7">
        <v>1548</v>
      </c>
      <c r="K36" s="7">
        <v>1626</v>
      </c>
      <c r="L36" s="7">
        <v>1769</v>
      </c>
      <c r="M36" s="7">
        <v>1788</v>
      </c>
      <c r="N36" s="7">
        <v>1877</v>
      </c>
    </row>
    <row r="37" spans="2:14" ht="12">
      <c r="B37" s="5" t="s">
        <v>29</v>
      </c>
      <c r="C37" s="6">
        <f>588321*0.0005</f>
        <v>294.1605</v>
      </c>
      <c r="D37" s="6">
        <f>724501*0.0005</f>
        <v>362.2505</v>
      </c>
      <c r="E37" s="6">
        <f>785708*0.0005</f>
        <v>392.854</v>
      </c>
      <c r="F37" s="7">
        <v>423</v>
      </c>
      <c r="G37" s="7">
        <v>425</v>
      </c>
      <c r="H37" s="7">
        <v>508</v>
      </c>
      <c r="I37" s="7">
        <v>597</v>
      </c>
      <c r="J37" s="7">
        <v>723</v>
      </c>
      <c r="K37" s="7">
        <v>773</v>
      </c>
      <c r="L37" s="7">
        <v>889</v>
      </c>
      <c r="M37" s="7">
        <v>947</v>
      </c>
      <c r="N37" s="7">
        <v>1012</v>
      </c>
    </row>
    <row r="38" spans="3:14" ht="12"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5" t="s">
        <v>30</v>
      </c>
      <c r="C39" s="6">
        <f aca="true" t="shared" si="5" ref="C39:K39">SUM(C40:C42)</f>
        <v>1185.433</v>
      </c>
      <c r="D39" s="6">
        <f t="shared" si="5"/>
        <v>1301.2975000000001</v>
      </c>
      <c r="E39" s="6">
        <f t="shared" si="5"/>
        <v>1380.499</v>
      </c>
      <c r="F39" s="6">
        <f t="shared" si="5"/>
        <v>1563.46</v>
      </c>
      <c r="G39" s="6">
        <f t="shared" si="5"/>
        <v>1728.945</v>
      </c>
      <c r="H39" s="6">
        <f t="shared" si="5"/>
        <v>1878.24</v>
      </c>
      <c r="I39" s="6">
        <f t="shared" si="5"/>
        <v>2018.845</v>
      </c>
      <c r="J39" s="6">
        <f t="shared" si="5"/>
        <v>2159.922</v>
      </c>
      <c r="K39" s="6">
        <f t="shared" si="5"/>
        <v>2342.907</v>
      </c>
      <c r="L39" s="6">
        <f>SUM(L40:L43)</f>
        <v>2615</v>
      </c>
      <c r="M39" s="6">
        <f>SUM(M40:M43)</f>
        <v>2791</v>
      </c>
      <c r="N39" s="6">
        <f>SUM(N40:N43)</f>
        <v>3065</v>
      </c>
    </row>
    <row r="40" spans="2:14" ht="12">
      <c r="B40" s="5" t="s">
        <v>31</v>
      </c>
      <c r="C40" s="6">
        <v>615.43</v>
      </c>
      <c r="D40" s="6">
        <v>667.715</v>
      </c>
      <c r="E40" s="6">
        <f>739.74-E43</f>
        <v>684.125</v>
      </c>
      <c r="F40" s="7">
        <f>822-F43</f>
        <v>761.46</v>
      </c>
      <c r="G40" s="7">
        <f>910-G43</f>
        <v>844.9449999999999</v>
      </c>
      <c r="H40" s="7">
        <f>960-H43</f>
        <v>890.24</v>
      </c>
      <c r="I40" s="7">
        <f>1063-I43</f>
        <v>975.845</v>
      </c>
      <c r="J40" s="7">
        <f>1161-J43</f>
        <v>1065.922</v>
      </c>
      <c r="K40" s="7">
        <f>1240-K43</f>
        <v>1140.907</v>
      </c>
      <c r="L40" s="7">
        <v>1246</v>
      </c>
      <c r="M40" s="7">
        <v>1324</v>
      </c>
      <c r="N40" s="7">
        <v>1453</v>
      </c>
    </row>
    <row r="41" spans="2:14" ht="12">
      <c r="B41" s="5" t="s">
        <v>32</v>
      </c>
      <c r="C41" s="6">
        <f>732000*0.0005</f>
        <v>366</v>
      </c>
      <c r="D41" s="6">
        <f>793923*0.0005</f>
        <v>396.9615</v>
      </c>
      <c r="E41" s="6">
        <f>851806*0.0005</f>
        <v>425.903</v>
      </c>
      <c r="F41" s="7">
        <v>504</v>
      </c>
      <c r="G41" s="7">
        <v>564</v>
      </c>
      <c r="H41" s="7">
        <v>618</v>
      </c>
      <c r="I41" s="7">
        <v>608</v>
      </c>
      <c r="J41" s="7">
        <v>621</v>
      </c>
      <c r="K41" s="7">
        <v>691</v>
      </c>
      <c r="L41" s="7">
        <v>713</v>
      </c>
      <c r="M41" s="7">
        <v>769</v>
      </c>
      <c r="N41" s="7">
        <v>872</v>
      </c>
    </row>
    <row r="42" spans="2:14" ht="12">
      <c r="B42" s="5" t="s">
        <v>33</v>
      </c>
      <c r="C42" s="6">
        <f>408006*0.0005</f>
        <v>204.00300000000001</v>
      </c>
      <c r="D42" s="6">
        <f>473242*0.0005</f>
        <v>236.621</v>
      </c>
      <c r="E42" s="6">
        <f>540942*0.0005</f>
        <v>270.471</v>
      </c>
      <c r="F42" s="7">
        <v>298</v>
      </c>
      <c r="G42" s="7">
        <v>320</v>
      </c>
      <c r="H42" s="7">
        <v>370</v>
      </c>
      <c r="I42" s="7">
        <v>435</v>
      </c>
      <c r="J42" s="7">
        <v>473</v>
      </c>
      <c r="K42" s="7">
        <v>511</v>
      </c>
      <c r="L42" s="7">
        <v>551</v>
      </c>
      <c r="M42" s="7">
        <v>592</v>
      </c>
      <c r="N42" s="7">
        <v>629</v>
      </c>
    </row>
    <row r="43" spans="2:14" ht="12">
      <c r="B43" s="1" t="s">
        <v>34</v>
      </c>
      <c r="C43" s="8" t="s">
        <v>35</v>
      </c>
      <c r="D43" s="8" t="s">
        <v>35</v>
      </c>
      <c r="E43" s="7">
        <v>55.615</v>
      </c>
      <c r="F43" s="7">
        <v>60.54</v>
      </c>
      <c r="G43" s="7">
        <v>65.055</v>
      </c>
      <c r="H43" s="7">
        <v>69.76</v>
      </c>
      <c r="I43" s="7">
        <v>87.155</v>
      </c>
      <c r="J43" s="7">
        <v>95.078</v>
      </c>
      <c r="K43" s="7">
        <v>99.093</v>
      </c>
      <c r="L43" s="7">
        <v>105</v>
      </c>
      <c r="M43" s="7">
        <v>106</v>
      </c>
      <c r="N43" s="7">
        <v>111</v>
      </c>
    </row>
    <row r="44" spans="3:14" ht="12">
      <c r="C44" s="6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5" t="s">
        <v>36</v>
      </c>
      <c r="C45" s="6">
        <f aca="true" t="shared" si="6" ref="C45:N45">SUM(C46:C49)</f>
        <v>1901.617</v>
      </c>
      <c r="D45" s="6">
        <f t="shared" si="6"/>
        <v>2192.2195</v>
      </c>
      <c r="E45" s="6">
        <f t="shared" si="6"/>
        <v>2460.7625000000003</v>
      </c>
      <c r="F45" s="6">
        <f t="shared" si="6"/>
        <v>2616</v>
      </c>
      <c r="G45" s="6">
        <f t="shared" si="6"/>
        <v>2971</v>
      </c>
      <c r="H45" s="6">
        <f t="shared" si="6"/>
        <v>3275</v>
      </c>
      <c r="I45" s="6">
        <f t="shared" si="6"/>
        <v>3786</v>
      </c>
      <c r="J45" s="6">
        <f t="shared" si="6"/>
        <v>4157</v>
      </c>
      <c r="K45" s="6">
        <f t="shared" si="6"/>
        <v>4422</v>
      </c>
      <c r="L45" s="6">
        <f t="shared" si="6"/>
        <v>4920</v>
      </c>
      <c r="M45" s="6">
        <f t="shared" si="6"/>
        <v>5057</v>
      </c>
      <c r="N45" s="6">
        <f t="shared" si="6"/>
        <v>5363</v>
      </c>
    </row>
    <row r="46" spans="2:14" ht="12">
      <c r="B46" s="5" t="s">
        <v>37</v>
      </c>
      <c r="C46" s="6">
        <f>2882480*0.0005</f>
        <v>1441.24</v>
      </c>
      <c r="D46" s="6">
        <f>3285480*0.0005</f>
        <v>1642.74</v>
      </c>
      <c r="E46" s="6">
        <f>3637020*0.0005</f>
        <v>1818.51</v>
      </c>
      <c r="F46" s="7">
        <v>1902</v>
      </c>
      <c r="G46" s="7">
        <v>2141</v>
      </c>
      <c r="H46" s="7">
        <v>2340</v>
      </c>
      <c r="I46" s="7">
        <v>2766</v>
      </c>
      <c r="J46" s="7">
        <v>3080</v>
      </c>
      <c r="K46" s="7">
        <v>3278</v>
      </c>
      <c r="L46" s="7">
        <v>3679</v>
      </c>
      <c r="M46" s="7">
        <v>3748</v>
      </c>
      <c r="N46" s="7">
        <v>3967</v>
      </c>
    </row>
    <row r="47" spans="2:14" ht="12">
      <c r="B47" s="5" t="s">
        <v>38</v>
      </c>
      <c r="C47" s="6">
        <f>437745*0.0005</f>
        <v>218.8725</v>
      </c>
      <c r="D47" s="6">
        <f>509383*0.0005</f>
        <v>254.69150000000002</v>
      </c>
      <c r="E47" s="6">
        <f>609187*0.0005</f>
        <v>304.5935</v>
      </c>
      <c r="F47" s="7">
        <v>336</v>
      </c>
      <c r="G47" s="7">
        <v>375</v>
      </c>
      <c r="H47" s="7">
        <v>434</v>
      </c>
      <c r="I47" s="7">
        <v>473</v>
      </c>
      <c r="J47" s="7">
        <v>535</v>
      </c>
      <c r="K47" s="7">
        <v>579</v>
      </c>
      <c r="L47" s="7">
        <v>630</v>
      </c>
      <c r="M47" s="7">
        <v>660</v>
      </c>
      <c r="N47" s="7">
        <v>680</v>
      </c>
    </row>
    <row r="48" spans="2:14" ht="12">
      <c r="B48" s="5" t="s">
        <v>39</v>
      </c>
      <c r="C48" s="6">
        <f>479228*0.0005</f>
        <v>239.614</v>
      </c>
      <c r="D48" s="6">
        <f>584832*0.0005</f>
        <v>292.416</v>
      </c>
      <c r="E48" s="6">
        <f>671758*0.0005</f>
        <v>335.879</v>
      </c>
      <c r="F48" s="7">
        <v>376</v>
      </c>
      <c r="G48" s="7">
        <v>453</v>
      </c>
      <c r="H48" s="7">
        <v>499</v>
      </c>
      <c r="I48" s="7">
        <v>544</v>
      </c>
      <c r="J48" s="7">
        <v>539</v>
      </c>
      <c r="K48" s="7">
        <v>562</v>
      </c>
      <c r="L48" s="7">
        <v>608</v>
      </c>
      <c r="M48" s="7">
        <v>645</v>
      </c>
      <c r="N48" s="7">
        <v>711</v>
      </c>
    </row>
    <row r="49" spans="2:14" ht="12">
      <c r="B49" s="5" t="s">
        <v>40</v>
      </c>
      <c r="C49" s="6">
        <f>3781*0.0005</f>
        <v>1.8905</v>
      </c>
      <c r="D49" s="6">
        <f>4744*0.0005</f>
        <v>2.372</v>
      </c>
      <c r="E49" s="6">
        <f>3560*0.0005</f>
        <v>1.78</v>
      </c>
      <c r="F49" s="7">
        <v>2</v>
      </c>
      <c r="G49" s="7">
        <v>2</v>
      </c>
      <c r="H49" s="7">
        <v>2</v>
      </c>
      <c r="I49" s="7">
        <v>3</v>
      </c>
      <c r="J49" s="7">
        <v>3</v>
      </c>
      <c r="K49" s="7">
        <v>3</v>
      </c>
      <c r="L49" s="7">
        <v>3</v>
      </c>
      <c r="M49" s="7">
        <v>4</v>
      </c>
      <c r="N49" s="7">
        <v>5</v>
      </c>
    </row>
    <row r="50" spans="3:14" ht="12">
      <c r="C50" s="6"/>
      <c r="D50" s="6"/>
      <c r="E50" s="6"/>
      <c r="F50" s="7"/>
      <c r="G50" s="7"/>
      <c r="H50" s="7"/>
      <c r="I50" s="7"/>
      <c r="J50" s="7"/>
      <c r="K50" s="7"/>
      <c r="L50" s="7"/>
      <c r="M50" s="7"/>
      <c r="N50" s="7"/>
    </row>
    <row r="51" spans="1:14" ht="12">
      <c r="A51" s="5" t="s">
        <v>41</v>
      </c>
      <c r="C51" s="6">
        <f aca="true" t="shared" si="7" ref="C51:N51">SUM(C7+C12+C20+C28+C34+C39+C45)</f>
        <v>10013.5245</v>
      </c>
      <c r="D51" s="6">
        <f t="shared" si="7"/>
        <v>11340.702000000001</v>
      </c>
      <c r="E51" s="6">
        <f t="shared" si="7"/>
        <v>11828.648500000001</v>
      </c>
      <c r="F51" s="6">
        <f t="shared" si="7"/>
        <v>12658.46</v>
      </c>
      <c r="G51" s="6">
        <f t="shared" si="7"/>
        <v>13096.945</v>
      </c>
      <c r="H51" s="6">
        <f t="shared" si="7"/>
        <v>14378.24</v>
      </c>
      <c r="I51" s="6">
        <f t="shared" si="7"/>
        <v>16459.845</v>
      </c>
      <c r="J51" s="6">
        <f t="shared" si="7"/>
        <v>17864.922</v>
      </c>
      <c r="K51" s="6">
        <f t="shared" si="7"/>
        <v>18249.907</v>
      </c>
      <c r="L51" s="6">
        <f t="shared" si="7"/>
        <v>20176</v>
      </c>
      <c r="M51" s="6">
        <f t="shared" si="7"/>
        <v>21228</v>
      </c>
      <c r="N51" s="6">
        <f t="shared" si="7"/>
        <v>22811</v>
      </c>
    </row>
    <row r="52" spans="1:14" ht="12">
      <c r="A52" s="5" t="s">
        <v>42</v>
      </c>
      <c r="C52" s="6">
        <v>10014</v>
      </c>
      <c r="D52" s="6">
        <v>11341</v>
      </c>
      <c r="E52" s="6">
        <v>11884</v>
      </c>
      <c r="F52" s="7">
        <v>12718</v>
      </c>
      <c r="G52" s="7">
        <v>13161</v>
      </c>
      <c r="H52" s="7">
        <v>14447</v>
      </c>
      <c r="I52" s="7">
        <v>16547</v>
      </c>
      <c r="J52" s="7">
        <v>17960</v>
      </c>
      <c r="K52" s="7">
        <v>18349</v>
      </c>
      <c r="L52" s="7">
        <v>20176</v>
      </c>
      <c r="M52" s="7">
        <v>21228</v>
      </c>
      <c r="N52" s="7">
        <v>22811</v>
      </c>
    </row>
    <row r="53" spans="1:14" ht="12">
      <c r="A53" s="2"/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ht="12">
      <c r="A54" s="1" t="s">
        <v>43</v>
      </c>
    </row>
    <row r="55" spans="1:14" ht="12">
      <c r="A55" s="1" t="s">
        <v>44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3:14" ht="1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1" t="s">
        <v>45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1" t="s">
        <v>46</v>
      </c>
      <c r="C58" s="6"/>
      <c r="D58" s="6"/>
      <c r="E58" s="6"/>
      <c r="F58" s="7"/>
      <c r="G58" s="7"/>
      <c r="H58" s="7"/>
      <c r="I58" s="7"/>
      <c r="J58" s="7"/>
      <c r="K58" s="7"/>
      <c r="L58" s="7"/>
      <c r="M58" s="7"/>
      <c r="N58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2006-11-02T11:43:33Z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